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80" windowWidth="18210" windowHeight="10395" activeTab="1"/>
  </bookViews>
  <sheets>
    <sheet name="Incomes FY 11-12" sheetId="1" r:id="rId1"/>
    <sheet name="Charges FY 13-14" sheetId="2" r:id="rId2"/>
  </sheets>
  <externalReferences>
    <externalReference r:id="rId3"/>
  </externalReferences>
  <definedNames>
    <definedName name="_xlnm._FilterDatabase" localSheetId="1" hidden="1">'Charges FY 13-14'!$A$6:$J$6</definedName>
    <definedName name="_xlnm._FilterDatabase" localSheetId="0" hidden="1">'Incomes FY 11-12'!$A$7:$J$140</definedName>
    <definedName name="_xlnm.Print_Titles" localSheetId="0">'Incomes FY 11-12'!$1:$9</definedName>
  </definedNames>
  <calcPr calcId="124519" concurrentCalc="0"/>
</workbook>
</file>

<file path=xl/calcChain.xml><?xml version="1.0" encoding="utf-8"?>
<calcChain xmlns="http://schemas.openxmlformats.org/spreadsheetml/2006/main">
  <c r="D10" i="2"/>
  <c r="G10"/>
  <c r="H10"/>
  <c r="D11"/>
  <c r="G11"/>
  <c r="H11"/>
  <c r="D12"/>
  <c r="G12"/>
  <c r="H12"/>
  <c r="D13"/>
  <c r="G13"/>
  <c r="H13"/>
  <c r="D14"/>
  <c r="G14"/>
  <c r="H14"/>
  <c r="D15"/>
  <c r="G15"/>
  <c r="H15"/>
  <c r="D16"/>
  <c r="G16"/>
  <c r="H16"/>
  <c r="D17"/>
  <c r="G17"/>
  <c r="H17"/>
  <c r="D18"/>
  <c r="G18"/>
  <c r="H18"/>
  <c r="D19"/>
  <c r="G19"/>
  <c r="H19"/>
  <c r="D20"/>
  <c r="G20"/>
  <c r="H20"/>
  <c r="D21"/>
  <c r="G21"/>
  <c r="H21"/>
  <c r="D22"/>
  <c r="G22"/>
  <c r="H22"/>
  <c r="D23"/>
  <c r="G23"/>
  <c r="H23"/>
  <c r="D24"/>
  <c r="G24"/>
  <c r="H24"/>
  <c r="D25"/>
  <c r="G25"/>
  <c r="H25"/>
  <c r="D26"/>
  <c r="G26"/>
  <c r="H26"/>
  <c r="D27"/>
  <c r="G27"/>
  <c r="H27"/>
  <c r="D28"/>
  <c r="G28"/>
  <c r="H28"/>
  <c r="D29"/>
  <c r="G29"/>
  <c r="H29"/>
  <c r="D30"/>
  <c r="G30"/>
  <c r="H30"/>
  <c r="D31"/>
  <c r="G31"/>
  <c r="H31"/>
  <c r="D32"/>
  <c r="G32"/>
  <c r="H32"/>
  <c r="D33"/>
  <c r="G33"/>
  <c r="H33"/>
  <c r="D34"/>
  <c r="G34"/>
  <c r="H34"/>
  <c r="D35"/>
  <c r="G35"/>
  <c r="H35"/>
  <c r="D36"/>
  <c r="G36"/>
  <c r="H36"/>
  <c r="D37"/>
  <c r="G37"/>
  <c r="H37"/>
  <c r="D38"/>
  <c r="G38"/>
  <c r="H38"/>
  <c r="D39"/>
  <c r="G39"/>
  <c r="H39"/>
  <c r="D40"/>
  <c r="G40"/>
  <c r="H40"/>
  <c r="D41"/>
  <c r="G41"/>
  <c r="H41"/>
  <c r="D42"/>
  <c r="G42"/>
  <c r="H42"/>
  <c r="D43"/>
  <c r="G43"/>
  <c r="H43"/>
  <c r="D44"/>
  <c r="G44"/>
  <c r="H44"/>
  <c r="D45"/>
  <c r="G45"/>
  <c r="H45"/>
  <c r="D46"/>
  <c r="G46"/>
  <c r="H46"/>
  <c r="D47"/>
  <c r="G47"/>
  <c r="H47"/>
  <c r="D48"/>
  <c r="G48"/>
  <c r="H48"/>
  <c r="D49"/>
  <c r="G49"/>
  <c r="H49"/>
  <c r="D50"/>
  <c r="G50"/>
  <c r="H50"/>
  <c r="D51"/>
  <c r="G51"/>
  <c r="H51"/>
  <c r="D52"/>
  <c r="G52"/>
  <c r="H52"/>
  <c r="D53"/>
  <c r="G53"/>
  <c r="H53"/>
  <c r="D54"/>
  <c r="G54"/>
  <c r="H54"/>
  <c r="D55"/>
  <c r="G55"/>
  <c r="H55"/>
  <c r="D56"/>
  <c r="G56"/>
  <c r="H56"/>
  <c r="D57"/>
  <c r="G57"/>
  <c r="H57"/>
  <c r="D58"/>
  <c r="G58"/>
  <c r="H58"/>
  <c r="D59"/>
  <c r="G59"/>
  <c r="H59"/>
  <c r="D60"/>
  <c r="G60"/>
  <c r="H60"/>
  <c r="D61"/>
  <c r="G61"/>
  <c r="H61"/>
  <c r="D62"/>
  <c r="G62"/>
  <c r="H62"/>
  <c r="D63"/>
  <c r="G63"/>
  <c r="H63"/>
  <c r="D64"/>
  <c r="G64"/>
  <c r="H64"/>
  <c r="D65"/>
  <c r="G65"/>
  <c r="H65"/>
  <c r="D66"/>
  <c r="G66"/>
  <c r="H66"/>
  <c r="H67"/>
  <c r="G68"/>
  <c r="H68"/>
  <c r="D69"/>
  <c r="G69"/>
  <c r="H69"/>
  <c r="D70"/>
  <c r="G70"/>
  <c r="H70"/>
  <c r="D71"/>
  <c r="G71"/>
  <c r="H71"/>
  <c r="D72"/>
  <c r="G72"/>
  <c r="H72"/>
  <c r="D73"/>
  <c r="G73"/>
  <c r="H73"/>
  <c r="D74"/>
  <c r="G74"/>
  <c r="H74"/>
  <c r="D75"/>
  <c r="G75"/>
  <c r="H75"/>
  <c r="D76"/>
  <c r="G76"/>
  <c r="H76"/>
  <c r="D77"/>
  <c r="G77"/>
  <c r="H77"/>
  <c r="D78"/>
  <c r="G78"/>
  <c r="H78"/>
  <c r="D79"/>
  <c r="G79"/>
  <c r="H79"/>
  <c r="D80"/>
  <c r="G80"/>
  <c r="H80"/>
  <c r="D81"/>
  <c r="G81"/>
  <c r="H81"/>
  <c r="D82"/>
  <c r="G82"/>
  <c r="H82"/>
  <c r="D83"/>
  <c r="G83"/>
  <c r="H83"/>
  <c r="D84"/>
  <c r="G84"/>
  <c r="H84"/>
  <c r="D85"/>
  <c r="G85"/>
  <c r="H85"/>
  <c r="D86"/>
  <c r="G86"/>
  <c r="H86"/>
  <c r="D87"/>
  <c r="G87"/>
  <c r="H87"/>
  <c r="D88"/>
  <c r="G88"/>
  <c r="H88"/>
  <c r="D89"/>
  <c r="G89"/>
  <c r="H89"/>
  <c r="D90"/>
  <c r="G90"/>
  <c r="H90"/>
  <c r="D91"/>
  <c r="G91"/>
  <c r="H91"/>
  <c r="D92"/>
  <c r="G92"/>
  <c r="H92"/>
  <c r="D93"/>
  <c r="G93"/>
  <c r="H93"/>
  <c r="D94"/>
  <c r="G94"/>
  <c r="H94"/>
  <c r="D95"/>
  <c r="G95"/>
  <c r="H95"/>
  <c r="D96"/>
  <c r="G96"/>
  <c r="H96"/>
  <c r="D97"/>
  <c r="G97"/>
  <c r="H97"/>
  <c r="D98"/>
  <c r="G98"/>
  <c r="H98"/>
  <c r="D99"/>
  <c r="G99"/>
  <c r="H99"/>
  <c r="D100"/>
  <c r="G100"/>
  <c r="H100"/>
  <c r="D101"/>
  <c r="G101"/>
  <c r="H101"/>
  <c r="D102"/>
  <c r="G102"/>
  <c r="H102"/>
  <c r="D103"/>
  <c r="G103"/>
  <c r="H103"/>
  <c r="D104"/>
  <c r="G104"/>
  <c r="H104"/>
  <c r="D105"/>
  <c r="G105"/>
  <c r="H105"/>
  <c r="D106"/>
  <c r="G106"/>
  <c r="H106"/>
  <c r="D107"/>
  <c r="G107"/>
  <c r="H107"/>
  <c r="D108"/>
  <c r="G108"/>
  <c r="H108"/>
  <c r="D109"/>
  <c r="G109"/>
  <c r="H109"/>
  <c r="D110"/>
  <c r="G110"/>
  <c r="H110"/>
  <c r="D111"/>
  <c r="G111"/>
  <c r="H111"/>
  <c r="D112"/>
  <c r="G112"/>
  <c r="H112"/>
  <c r="D113"/>
  <c r="G113"/>
  <c r="H113"/>
  <c r="D114"/>
  <c r="G114"/>
  <c r="H114"/>
  <c r="D115"/>
  <c r="G115"/>
  <c r="H115"/>
  <c r="D116"/>
  <c r="G116"/>
  <c r="H116"/>
  <c r="D117"/>
  <c r="G117"/>
  <c r="H117"/>
  <c r="D118"/>
  <c r="G118"/>
  <c r="H118"/>
  <c r="D119"/>
  <c r="G119"/>
  <c r="H119"/>
  <c r="D120"/>
  <c r="G120"/>
  <c r="H120"/>
  <c r="D121"/>
  <c r="G121"/>
  <c r="H121"/>
  <c r="D122"/>
  <c r="G122"/>
  <c r="H122"/>
  <c r="D123"/>
  <c r="G123"/>
  <c r="H123"/>
  <c r="D124"/>
  <c r="G124"/>
  <c r="H124"/>
  <c r="D125"/>
  <c r="G125"/>
  <c r="H125"/>
  <c r="D126"/>
  <c r="G126"/>
  <c r="H126"/>
  <c r="D127"/>
  <c r="G127"/>
  <c r="H127"/>
  <c r="D128"/>
  <c r="G128"/>
  <c r="H128"/>
  <c r="D129"/>
  <c r="G129"/>
  <c r="H129"/>
  <c r="D130"/>
  <c r="G130"/>
  <c r="H130"/>
  <c r="D131"/>
  <c r="G131"/>
  <c r="H131"/>
  <c r="D132"/>
  <c r="G132"/>
  <c r="H132"/>
  <c r="D133"/>
  <c r="G133"/>
  <c r="H133"/>
  <c r="D134"/>
  <c r="G134"/>
  <c r="H134"/>
  <c r="D135"/>
  <c r="G135"/>
  <c r="H135"/>
  <c r="D136"/>
  <c r="G136"/>
  <c r="H136"/>
  <c r="D137"/>
  <c r="G137"/>
  <c r="H137"/>
  <c r="D138"/>
  <c r="G138"/>
  <c r="H138"/>
  <c r="D139"/>
  <c r="G139"/>
  <c r="H139"/>
  <c r="D142"/>
  <c r="G142"/>
  <c r="H142"/>
  <c r="D143"/>
  <c r="G143"/>
  <c r="H143"/>
  <c r="D144"/>
  <c r="G144"/>
  <c r="H144"/>
  <c r="D145"/>
  <c r="G145"/>
  <c r="H145"/>
  <c r="D146"/>
  <c r="G146"/>
  <c r="H146"/>
  <c r="D147"/>
  <c r="G147"/>
  <c r="H147"/>
  <c r="D148"/>
  <c r="G148"/>
  <c r="H148"/>
  <c r="D149"/>
  <c r="G149"/>
  <c r="H149"/>
  <c r="D150"/>
  <c r="G150"/>
  <c r="H150"/>
  <c r="D151"/>
  <c r="G151"/>
  <c r="H151"/>
  <c r="D152"/>
  <c r="G152"/>
  <c r="H152"/>
  <c r="D153"/>
  <c r="G153"/>
  <c r="H153"/>
  <c r="D154"/>
  <c r="G154"/>
  <c r="H154"/>
  <c r="D155"/>
  <c r="G155"/>
  <c r="H155"/>
  <c r="D156"/>
  <c r="G156"/>
  <c r="H156"/>
  <c r="D157"/>
  <c r="G157"/>
  <c r="H157"/>
  <c r="D158"/>
  <c r="G158"/>
  <c r="H158"/>
  <c r="D159"/>
  <c r="G159"/>
  <c r="H159"/>
  <c r="D162"/>
  <c r="G162"/>
  <c r="H162"/>
  <c r="D163"/>
  <c r="G163"/>
  <c r="H163"/>
  <c r="D164"/>
  <c r="G164"/>
  <c r="H164"/>
  <c r="D165"/>
  <c r="G165"/>
  <c r="H165"/>
  <c r="D166"/>
  <c r="G166"/>
  <c r="H166"/>
  <c r="D167"/>
  <c r="G167"/>
  <c r="H167"/>
  <c r="D168"/>
  <c r="G168"/>
  <c r="H168"/>
  <c r="D169"/>
  <c r="G169"/>
  <c r="H169"/>
  <c r="D170"/>
  <c r="G170"/>
  <c r="H170"/>
  <c r="D171"/>
  <c r="G171"/>
  <c r="H171"/>
  <c r="D172"/>
  <c r="G172"/>
  <c r="H172"/>
  <c r="D175"/>
  <c r="G175"/>
  <c r="H175"/>
  <c r="D176"/>
  <c r="G176"/>
  <c r="H176"/>
  <c r="D177"/>
  <c r="G177"/>
  <c r="H177"/>
  <c r="D178"/>
  <c r="G178"/>
  <c r="H178"/>
  <c r="J193"/>
  <c r="J192"/>
  <c r="J191"/>
  <c r="J190"/>
  <c r="J189"/>
  <c r="I193"/>
  <c r="I192"/>
  <c r="I191"/>
  <c r="I190"/>
  <c r="I189"/>
  <c r="D67"/>
  <c r="G189"/>
  <c r="G190"/>
  <c r="G191"/>
  <c r="G192"/>
  <c r="G193"/>
  <c r="H189"/>
  <c r="H190"/>
  <c r="H191"/>
  <c r="H192"/>
  <c r="H193"/>
  <c r="F145"/>
  <c r="F68"/>
  <c r="F154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2"/>
  <c r="F143"/>
  <c r="F144"/>
  <c r="F146"/>
  <c r="F147"/>
  <c r="F148"/>
  <c r="F149"/>
  <c r="F150"/>
  <c r="F151"/>
  <c r="F152"/>
  <c r="F153"/>
  <c r="F155"/>
  <c r="F156"/>
  <c r="F157"/>
  <c r="F158"/>
  <c r="F159"/>
  <c r="F162"/>
  <c r="F163"/>
  <c r="F164"/>
  <c r="F165"/>
  <c r="F166"/>
  <c r="F167"/>
  <c r="F168"/>
  <c r="F169"/>
  <c r="F170"/>
  <c r="F171"/>
  <c r="F172"/>
  <c r="F175"/>
  <c r="F176"/>
  <c r="F177"/>
  <c r="F178"/>
  <c r="F10"/>
  <c r="A180"/>
  <c r="D4"/>
  <c r="J198" i="1"/>
  <c r="K198"/>
  <c r="J197"/>
  <c r="K197"/>
  <c r="J196"/>
  <c r="K196"/>
  <c r="K195"/>
  <c r="J195"/>
  <c r="J194"/>
  <c r="K194"/>
  <c r="J193"/>
  <c r="K193"/>
  <c r="J192"/>
  <c r="K192"/>
  <c r="J191"/>
  <c r="K191"/>
  <c r="J190"/>
  <c r="K190"/>
  <c r="K189"/>
  <c r="J189"/>
  <c r="J182"/>
  <c r="I182"/>
  <c r="H182"/>
  <c r="G182"/>
  <c r="F182"/>
  <c r="E182"/>
  <c r="D182"/>
  <c r="J175"/>
  <c r="I175"/>
  <c r="H175"/>
  <c r="G175"/>
  <c r="F175"/>
  <c r="E175"/>
  <c r="D175"/>
  <c r="J161"/>
  <c r="I161"/>
  <c r="H161"/>
  <c r="G161"/>
  <c r="F161"/>
  <c r="E161"/>
  <c r="D161"/>
  <c r="J140"/>
  <c r="I140"/>
  <c r="H140"/>
  <c r="G140"/>
  <c r="F140"/>
  <c r="E140"/>
  <c r="D140"/>
  <c r="F180" i="2"/>
  <c r="F184"/>
  <c r="I184" i="1"/>
  <c r="D184"/>
  <c r="H184"/>
  <c r="G184"/>
  <c r="F184"/>
  <c r="J184"/>
  <c r="E184"/>
  <c r="J199"/>
  <c r="K199"/>
  <c r="C27" i="2"/>
  <c r="C148"/>
  <c r="C19"/>
  <c r="C43"/>
  <c r="C63"/>
  <c r="C96"/>
  <c r="C132"/>
  <c r="C171"/>
  <c r="C44"/>
  <c r="C87"/>
  <c r="C130"/>
  <c r="C177"/>
  <c r="C66"/>
  <c r="C123"/>
  <c r="C11"/>
  <c r="C15"/>
  <c r="C35"/>
  <c r="C59"/>
  <c r="C92"/>
  <c r="C128"/>
  <c r="C167"/>
  <c r="C38"/>
  <c r="C82"/>
  <c r="C125"/>
  <c r="C168"/>
  <c r="C58"/>
  <c r="C117"/>
  <c r="C176"/>
  <c r="C47"/>
  <c r="C76"/>
  <c r="C112"/>
  <c r="C17"/>
  <c r="C60"/>
  <c r="C103"/>
  <c r="C147"/>
  <c r="C30"/>
  <c r="C89"/>
  <c r="C146"/>
  <c r="C31"/>
  <c r="C51"/>
  <c r="C80"/>
  <c r="C116"/>
  <c r="C152"/>
  <c r="C22"/>
  <c r="C65"/>
  <c r="C109"/>
  <c r="C153"/>
  <c r="C37"/>
  <c r="C95"/>
  <c r="C154"/>
  <c r="D182"/>
  <c r="G182"/>
  <c r="C114"/>
  <c r="C120"/>
  <c r="C52"/>
  <c r="C33"/>
  <c r="C124"/>
  <c r="C159"/>
  <c r="C79"/>
  <c r="C175"/>
  <c r="C91"/>
  <c r="C14"/>
  <c r="C115"/>
  <c r="C36"/>
  <c r="C169"/>
  <c r="C86"/>
  <c r="C48"/>
  <c r="C74"/>
  <c r="C49"/>
  <c r="C67"/>
  <c r="G67"/>
  <c r="C142"/>
  <c r="C144"/>
  <c r="C129"/>
  <c r="C50"/>
  <c r="C105"/>
  <c r="C25"/>
  <c r="C126"/>
  <c r="C46"/>
  <c r="C97"/>
  <c r="C137"/>
  <c r="C99"/>
  <c r="C57"/>
  <c r="C20"/>
  <c r="C102"/>
  <c r="C158"/>
  <c r="C71"/>
  <c r="C156"/>
  <c r="C84"/>
  <c r="C110"/>
  <c r="C162"/>
  <c r="C77"/>
  <c r="C163"/>
  <c r="C88"/>
  <c r="C23"/>
  <c r="C139"/>
  <c r="C101"/>
  <c r="C61"/>
  <c r="C21"/>
  <c r="C151"/>
  <c r="C113"/>
  <c r="C73"/>
  <c r="C34"/>
  <c r="C10"/>
  <c r="C134"/>
  <c r="C94"/>
  <c r="C56"/>
  <c r="C18"/>
  <c r="C149"/>
  <c r="C107"/>
  <c r="C69"/>
  <c r="C29"/>
  <c r="C164"/>
  <c r="C45"/>
  <c r="C28"/>
  <c r="C170"/>
  <c r="C119"/>
  <c r="C55"/>
  <c r="C121"/>
  <c r="C41"/>
  <c r="C133"/>
  <c r="C53"/>
  <c r="C155"/>
  <c r="C75"/>
  <c r="C127"/>
  <c r="C135"/>
  <c r="C136"/>
  <c r="C81"/>
  <c r="C54"/>
  <c r="C72"/>
  <c r="C172"/>
  <c r="C90"/>
  <c r="C13"/>
  <c r="C143"/>
  <c r="C62"/>
  <c r="C166"/>
  <c r="C85"/>
  <c r="C131"/>
  <c r="C16"/>
  <c r="C93"/>
  <c r="C178"/>
  <c r="C104"/>
  <c r="C138"/>
  <c r="C24"/>
  <c r="C98"/>
  <c r="C12"/>
  <c r="C108"/>
  <c r="C39"/>
  <c r="C150"/>
  <c r="C111"/>
  <c r="C70"/>
  <c r="C32"/>
  <c r="C165"/>
  <c r="C122"/>
  <c r="C83"/>
  <c r="C42"/>
  <c r="C145"/>
  <c r="C106"/>
  <c r="C64"/>
  <c r="C26"/>
  <c r="C157"/>
  <c r="C118"/>
  <c r="C78"/>
  <c r="C40"/>
  <c r="D180"/>
  <c r="D184"/>
  <c r="C100"/>
  <c r="G180"/>
  <c r="G184"/>
</calcChain>
</file>

<file path=xl/comments1.xml><?xml version="1.0" encoding="utf-8"?>
<comments xmlns="http://schemas.openxmlformats.org/spreadsheetml/2006/main">
  <authors>
    <author>hannahc</author>
  </authors>
  <commentList>
    <comment ref="B97" authorId="0">
      <text>
        <r>
          <rPr>
            <b/>
            <sz val="9"/>
            <color indexed="81"/>
            <rFont val="Tahoma"/>
            <family val="2"/>
          </rPr>
          <t>hannahc:</t>
        </r>
        <r>
          <rPr>
            <sz val="9"/>
            <color indexed="81"/>
            <rFont val="Tahoma"/>
            <family val="2"/>
          </rPr>
          <t xml:space="preserve">
By JCN agreement OU amount is individually discounted by assessing  its charge only on its non-HEFCE income.</t>
        </r>
      </text>
    </comment>
  </commentList>
</comments>
</file>

<file path=xl/sharedStrings.xml><?xml version="1.0" encoding="utf-8"?>
<sst xmlns="http://schemas.openxmlformats.org/spreadsheetml/2006/main" count="880" uniqueCount="397">
  <si>
    <t>Breakdown of 2011-12 income in higher education institutions in the UK</t>
  </si>
  <si>
    <t>Data in £000s</t>
  </si>
  <si>
    <t>Source: HESA Finance Statistics Return 2011-12</t>
  </si>
  <si>
    <t>Date prepared: 29 April 2013</t>
  </si>
  <si>
    <t>HESA code</t>
  </si>
  <si>
    <t>Institution</t>
  </si>
  <si>
    <t>Funding Council grants</t>
  </si>
  <si>
    <t>Fee income</t>
  </si>
  <si>
    <t>Research grants and contracts</t>
  </si>
  <si>
    <t>Other income excl. R &amp; C</t>
  </si>
  <si>
    <t>Residences and catering operations</t>
  </si>
  <si>
    <t>Endowment and investment income</t>
  </si>
  <si>
    <t>Total income</t>
  </si>
  <si>
    <t>Region</t>
  </si>
  <si>
    <t>England</t>
  </si>
  <si>
    <t xml:space="preserve">H-0047 </t>
  </si>
  <si>
    <t xml:space="preserve">Anglia Ruskin University </t>
  </si>
  <si>
    <t xml:space="preserve">ES </t>
  </si>
  <si>
    <t xml:space="preserve">H-0108 </t>
  </si>
  <si>
    <t xml:space="preserve">Aston University </t>
  </si>
  <si>
    <t xml:space="preserve">WM </t>
  </si>
  <si>
    <t xml:space="preserve">H-0109 </t>
  </si>
  <si>
    <t xml:space="preserve">University of Bath </t>
  </si>
  <si>
    <t xml:space="preserve">SW </t>
  </si>
  <si>
    <t xml:space="preserve">H-0048 </t>
  </si>
  <si>
    <t xml:space="preserve">Bath Spa University </t>
  </si>
  <si>
    <t xml:space="preserve">H-0026 </t>
  </si>
  <si>
    <t xml:space="preserve">University of Bedfordshire </t>
  </si>
  <si>
    <t xml:space="preserve">H-0127 </t>
  </si>
  <si>
    <t xml:space="preserve">Birkbeck College </t>
  </si>
  <si>
    <t xml:space="preserve">GL </t>
  </si>
  <si>
    <t xml:space="preserve">H-0110 </t>
  </si>
  <si>
    <t xml:space="preserve">University of Birmingham </t>
  </si>
  <si>
    <t xml:space="preserve">H-0052 </t>
  </si>
  <si>
    <t xml:space="preserve">Birmingham City University </t>
  </si>
  <si>
    <t xml:space="preserve">H-0200 </t>
  </si>
  <si>
    <t xml:space="preserve">University College Birmingham </t>
  </si>
  <si>
    <t xml:space="preserve">H-0007 </t>
  </si>
  <si>
    <t xml:space="preserve">Bishop Grosseteste University </t>
  </si>
  <si>
    <t xml:space="preserve">EM </t>
  </si>
  <si>
    <t xml:space="preserve">H-0049 </t>
  </si>
  <si>
    <t xml:space="preserve">University of Bolton </t>
  </si>
  <si>
    <t xml:space="preserve">NW </t>
  </si>
  <si>
    <t xml:space="preserve">H-0197 </t>
  </si>
  <si>
    <t xml:space="preserve">The Arts University Bournemouth </t>
  </si>
  <si>
    <t xml:space="preserve">H-0050 </t>
  </si>
  <si>
    <t xml:space="preserve">Bournemouth University </t>
  </si>
  <si>
    <t xml:space="preserve">H-0111 </t>
  </si>
  <si>
    <t xml:space="preserve">University of Bradford </t>
  </si>
  <si>
    <t xml:space="preserve">YH </t>
  </si>
  <si>
    <t xml:space="preserve">H-0051 </t>
  </si>
  <si>
    <t xml:space="preserve">University of Brighton </t>
  </si>
  <si>
    <t xml:space="preserve">SE </t>
  </si>
  <si>
    <t xml:space="preserve">H-0112 </t>
  </si>
  <si>
    <t xml:space="preserve">University of Bristol </t>
  </si>
  <si>
    <t xml:space="preserve">H-0113 </t>
  </si>
  <si>
    <t xml:space="preserve">Brunel University </t>
  </si>
  <si>
    <t xml:space="preserve">H-0203 </t>
  </si>
  <si>
    <t xml:space="preserve">University of Buckingham </t>
  </si>
  <si>
    <t xml:space="preserve">H-0009 </t>
  </si>
  <si>
    <t xml:space="preserve">Buckinghamshire New University </t>
  </si>
  <si>
    <t xml:space="preserve">H-0114 </t>
  </si>
  <si>
    <t xml:space="preserve">University of Cambridge </t>
  </si>
  <si>
    <t xml:space="preserve">H-0188 </t>
  </si>
  <si>
    <t xml:space="preserve">Institute of Cancer Research </t>
  </si>
  <si>
    <t xml:space="preserve">H-0012 </t>
  </si>
  <si>
    <t xml:space="preserve">Canterbury Christ Church University </t>
  </si>
  <si>
    <t xml:space="preserve">H-0053 </t>
  </si>
  <si>
    <t xml:space="preserve">University of Central Lancashire </t>
  </si>
  <si>
    <t xml:space="preserve">H-0011 </t>
  </si>
  <si>
    <t xml:space="preserve">University of Chester </t>
  </si>
  <si>
    <t xml:space="preserve">H-0082 </t>
  </si>
  <si>
    <t xml:space="preserve">University of Chichester </t>
  </si>
  <si>
    <t xml:space="preserve">H-0115 </t>
  </si>
  <si>
    <t xml:space="preserve">City University, London </t>
  </si>
  <si>
    <t xml:space="preserve">H-0201 </t>
  </si>
  <si>
    <t xml:space="preserve">Courtauld Institute of Art </t>
  </si>
  <si>
    <t xml:space="preserve">H-0056 </t>
  </si>
  <si>
    <t xml:space="preserve">Coventry University </t>
  </si>
  <si>
    <t xml:space="preserve">H-0002 </t>
  </si>
  <si>
    <t xml:space="preserve">Cranfield University </t>
  </si>
  <si>
    <t xml:space="preserve">H-0206 </t>
  </si>
  <si>
    <t xml:space="preserve">University for the Creative Arts </t>
  </si>
  <si>
    <t xml:space="preserve">H-0038 </t>
  </si>
  <si>
    <t xml:space="preserve">University of Cumbria </t>
  </si>
  <si>
    <t xml:space="preserve">H-0199 </t>
  </si>
  <si>
    <t xml:space="preserve">Conservatoire for Dance and Drama </t>
  </si>
  <si>
    <t xml:space="preserve">H-0068 </t>
  </si>
  <si>
    <t xml:space="preserve">De Montfort University </t>
  </si>
  <si>
    <t xml:space="preserve">H-0057 </t>
  </si>
  <si>
    <t xml:space="preserve">University of Derby </t>
  </si>
  <si>
    <t xml:space="preserve">H-0116 </t>
  </si>
  <si>
    <t xml:space="preserve">University of Durham </t>
  </si>
  <si>
    <t xml:space="preserve">NE </t>
  </si>
  <si>
    <t xml:space="preserve">H-0117 </t>
  </si>
  <si>
    <t xml:space="preserve">University of East Anglia </t>
  </si>
  <si>
    <t xml:space="preserve">H-0058 </t>
  </si>
  <si>
    <t xml:space="preserve">University of East London </t>
  </si>
  <si>
    <t xml:space="preserve">H-0016 </t>
  </si>
  <si>
    <t xml:space="preserve">Edge Hill University </t>
  </si>
  <si>
    <t xml:space="preserve">H-0133 </t>
  </si>
  <si>
    <t xml:space="preserve">Institute of Education </t>
  </si>
  <si>
    <t xml:space="preserve">H-0118 </t>
  </si>
  <si>
    <t xml:space="preserve">University of Essex </t>
  </si>
  <si>
    <t xml:space="preserve">H-0119 </t>
  </si>
  <si>
    <t xml:space="preserve">University of Exeter </t>
  </si>
  <si>
    <t xml:space="preserve">H-0017 </t>
  </si>
  <si>
    <t xml:space="preserve">Falmouth University </t>
  </si>
  <si>
    <t xml:space="preserve">H-0054 </t>
  </si>
  <si>
    <t xml:space="preserve">University of Gloucestershire </t>
  </si>
  <si>
    <t xml:space="preserve">H-0131 </t>
  </si>
  <si>
    <t xml:space="preserve">Goldsmiths' College </t>
  </si>
  <si>
    <t xml:space="preserve">H-0059 </t>
  </si>
  <si>
    <t xml:space="preserve">University of Greenwich </t>
  </si>
  <si>
    <t xml:space="preserve">H-0208 </t>
  </si>
  <si>
    <t xml:space="preserve">Guildhall School of Music &amp; Drama </t>
  </si>
  <si>
    <t xml:space="preserve">H-0018 </t>
  </si>
  <si>
    <t xml:space="preserve">Harper Adams University </t>
  </si>
  <si>
    <t xml:space="preserve">H-0060 </t>
  </si>
  <si>
    <t xml:space="preserve">University of Hertfordshire </t>
  </si>
  <si>
    <t xml:space="preserve">H-0205 </t>
  </si>
  <si>
    <t xml:space="preserve">Heythrop College </t>
  </si>
  <si>
    <t xml:space="preserve">H-0061 </t>
  </si>
  <si>
    <t xml:space="preserve">University of Huddersfield </t>
  </si>
  <si>
    <t xml:space="preserve">H-0120 </t>
  </si>
  <si>
    <t xml:space="preserve">University of Hull </t>
  </si>
  <si>
    <t xml:space="preserve">H-0132 </t>
  </si>
  <si>
    <t xml:space="preserve">Imperial College London </t>
  </si>
  <si>
    <t xml:space="preserve">H-0121 </t>
  </si>
  <si>
    <t xml:space="preserve">Keele University </t>
  </si>
  <si>
    <t xml:space="preserve">H-0122 </t>
  </si>
  <si>
    <t xml:space="preserve">University of Kent </t>
  </si>
  <si>
    <t xml:space="preserve">H-0134 </t>
  </si>
  <si>
    <t xml:space="preserve">King's College London </t>
  </si>
  <si>
    <t xml:space="preserve">H-0063 </t>
  </si>
  <si>
    <t xml:space="preserve">Kingston University </t>
  </si>
  <si>
    <t xml:space="preserve">H-0123 </t>
  </si>
  <si>
    <t xml:space="preserve">Lancaster University </t>
  </si>
  <si>
    <t xml:space="preserve">H-0124 </t>
  </si>
  <si>
    <t xml:space="preserve">University of Leeds </t>
  </si>
  <si>
    <t xml:space="preserve">H-0211 </t>
  </si>
  <si>
    <t xml:space="preserve">Leeds College of Art </t>
  </si>
  <si>
    <t xml:space="preserve">H-0064 </t>
  </si>
  <si>
    <t xml:space="preserve">Leeds Metropolitan University </t>
  </si>
  <si>
    <t xml:space="preserve">H-0040 </t>
  </si>
  <si>
    <t xml:space="preserve">Leeds Trinity University </t>
  </si>
  <si>
    <t xml:space="preserve">H-0125 </t>
  </si>
  <si>
    <t xml:space="preserve">University of Leicester </t>
  </si>
  <si>
    <t xml:space="preserve">H-0062 </t>
  </si>
  <si>
    <t xml:space="preserve">University of Lincoln </t>
  </si>
  <si>
    <t xml:space="preserve">H-0126 </t>
  </si>
  <si>
    <t xml:space="preserve">University of Liverpool </t>
  </si>
  <si>
    <t xml:space="preserve">H-0023 </t>
  </si>
  <si>
    <t xml:space="preserve">Liverpool Hope University </t>
  </si>
  <si>
    <t xml:space="preserve">H-0065 </t>
  </si>
  <si>
    <t xml:space="preserve">Liverpool John Moores University </t>
  </si>
  <si>
    <t xml:space="preserve">H-0209 </t>
  </si>
  <si>
    <t xml:space="preserve">Liverpool Institute for Performing Arts </t>
  </si>
  <si>
    <t xml:space="preserve">H-0024 </t>
  </si>
  <si>
    <t xml:space="preserve">University of the Arts London </t>
  </si>
  <si>
    <t xml:space="preserve">H-0151 </t>
  </si>
  <si>
    <t xml:space="preserve">University of London </t>
  </si>
  <si>
    <t xml:space="preserve">H-0149 </t>
  </si>
  <si>
    <t xml:space="preserve">University College London </t>
  </si>
  <si>
    <t xml:space="preserve">H-0147 </t>
  </si>
  <si>
    <t xml:space="preserve">UCL School of Pharmacy </t>
  </si>
  <si>
    <t xml:space="preserve">H-0135 </t>
  </si>
  <si>
    <t xml:space="preserve">London Business School </t>
  </si>
  <si>
    <t xml:space="preserve">H-0137 </t>
  </si>
  <si>
    <t xml:space="preserve">London School of Economics and Political Science </t>
  </si>
  <si>
    <t xml:space="preserve">H-0138 </t>
  </si>
  <si>
    <t xml:space="preserve">London School of Hygiene &amp; Tropical Medicine </t>
  </si>
  <si>
    <t xml:space="preserve">H-0202 </t>
  </si>
  <si>
    <t xml:space="preserve">London Metropolitan University </t>
  </si>
  <si>
    <t xml:space="preserve">H-0076 </t>
  </si>
  <si>
    <t xml:space="preserve">London South Bank University </t>
  </si>
  <si>
    <t xml:space="preserve">H-0152 </t>
  </si>
  <si>
    <t xml:space="preserve">Loughborough University </t>
  </si>
  <si>
    <t xml:space="preserve">H-0204 </t>
  </si>
  <si>
    <t xml:space="preserve">University of Manchester </t>
  </si>
  <si>
    <t xml:space="preserve">H-0066 </t>
  </si>
  <si>
    <t xml:space="preserve">Manchester Metropolitan University </t>
  </si>
  <si>
    <t xml:space="preserve">H-0067 </t>
  </si>
  <si>
    <t xml:space="preserve">Middlesex University </t>
  </si>
  <si>
    <t xml:space="preserve">H-0154 </t>
  </si>
  <si>
    <t xml:space="preserve">University of Newcastle upon Tyne </t>
  </si>
  <si>
    <t xml:space="preserve">H-0028 </t>
  </si>
  <si>
    <t xml:space="preserve">Newman University </t>
  </si>
  <si>
    <t xml:space="preserve">H-0027 </t>
  </si>
  <si>
    <t xml:space="preserve">University of Northampton </t>
  </si>
  <si>
    <t xml:space="preserve">H-0069 </t>
  </si>
  <si>
    <t xml:space="preserve">University of Northumbria at Newcastle </t>
  </si>
  <si>
    <t xml:space="preserve">H-0190 </t>
  </si>
  <si>
    <t xml:space="preserve">Norwich University of the Arts </t>
  </si>
  <si>
    <t xml:space="preserve">H-0155 </t>
  </si>
  <si>
    <t xml:space="preserve">University of Nottingham </t>
  </si>
  <si>
    <t xml:space="preserve">H-0071 </t>
  </si>
  <si>
    <t xml:space="preserve">Nottingham Trent University </t>
  </si>
  <si>
    <t xml:space="preserve">H-0001 </t>
  </si>
  <si>
    <t xml:space="preserve">Open University </t>
  </si>
  <si>
    <t xml:space="preserve">OU </t>
  </si>
  <si>
    <t xml:space="preserve">H-0146 </t>
  </si>
  <si>
    <t xml:space="preserve">School of Oriental and African Studies </t>
  </si>
  <si>
    <t xml:space="preserve">H-0156 </t>
  </si>
  <si>
    <t xml:space="preserve">University of Oxford </t>
  </si>
  <si>
    <t xml:space="preserve">H-0072 </t>
  </si>
  <si>
    <t xml:space="preserve">Oxford Brookes University </t>
  </si>
  <si>
    <t xml:space="preserve">H-0073 </t>
  </si>
  <si>
    <t xml:space="preserve">University of Plymouth </t>
  </si>
  <si>
    <t xml:space="preserve">H-0014 </t>
  </si>
  <si>
    <t xml:space="preserve">University College Plymouth St Mark &amp; St John </t>
  </si>
  <si>
    <t xml:space="preserve">H-0074 </t>
  </si>
  <si>
    <t xml:space="preserve">University of Portsmouth </t>
  </si>
  <si>
    <t xml:space="preserve">H-0139 </t>
  </si>
  <si>
    <t xml:space="preserve">Queen Mary, University of London </t>
  </si>
  <si>
    <t xml:space="preserve">H-0030 </t>
  </si>
  <si>
    <t xml:space="preserve">Ravensbourne </t>
  </si>
  <si>
    <t xml:space="preserve">H-0157 </t>
  </si>
  <si>
    <t xml:space="preserve">University of Reading </t>
  </si>
  <si>
    <t xml:space="preserve">H-0031 </t>
  </si>
  <si>
    <t xml:space="preserve">Roehampton University </t>
  </si>
  <si>
    <t xml:space="preserve">H-0032 </t>
  </si>
  <si>
    <t xml:space="preserve">Rose Bruford College </t>
  </si>
  <si>
    <t xml:space="preserve">H-0033 </t>
  </si>
  <si>
    <t xml:space="preserve">Royal Academy of Music </t>
  </si>
  <si>
    <t xml:space="preserve">H-0195 </t>
  </si>
  <si>
    <t xml:space="preserve">Royal Agricultural College </t>
  </si>
  <si>
    <t xml:space="preserve">H-0003 </t>
  </si>
  <si>
    <t xml:space="preserve">Royal College of Art </t>
  </si>
  <si>
    <t xml:space="preserve">H-0010 </t>
  </si>
  <si>
    <t xml:space="preserve">Royal Central School of Speech and Drama </t>
  </si>
  <si>
    <t xml:space="preserve">H-0034 </t>
  </si>
  <si>
    <t xml:space="preserve">Royal College of Music </t>
  </si>
  <si>
    <t xml:space="preserve">H-0141 </t>
  </si>
  <si>
    <t xml:space="preserve">Royal Holloway, University of London </t>
  </si>
  <si>
    <t xml:space="preserve">H-0035 </t>
  </si>
  <si>
    <t xml:space="preserve">Royal Northern College of Music </t>
  </si>
  <si>
    <t xml:space="preserve">H-0143 </t>
  </si>
  <si>
    <t xml:space="preserve">Royal Veterinary College </t>
  </si>
  <si>
    <t xml:space="preserve">H-0145 </t>
  </si>
  <si>
    <t xml:space="preserve">St George's Hospital Medical School </t>
  </si>
  <si>
    <t xml:space="preserve">H-0039 </t>
  </si>
  <si>
    <t xml:space="preserve">St Mary's University College </t>
  </si>
  <si>
    <t xml:space="preserve">H-0158 </t>
  </si>
  <si>
    <t xml:space="preserve">University of Salford </t>
  </si>
  <si>
    <t xml:space="preserve">H-0159 </t>
  </si>
  <si>
    <t xml:space="preserve">University of Sheffield </t>
  </si>
  <si>
    <t xml:space="preserve">H-0075 </t>
  </si>
  <si>
    <t xml:space="preserve">Sheffield Hallam University </t>
  </si>
  <si>
    <t xml:space="preserve">H-0160 </t>
  </si>
  <si>
    <t xml:space="preserve">University of Southampton </t>
  </si>
  <si>
    <t xml:space="preserve">H-0037 </t>
  </si>
  <si>
    <t xml:space="preserve">Southampton Solent University </t>
  </si>
  <si>
    <t xml:space="preserve">H-0077 </t>
  </si>
  <si>
    <t xml:space="preserve">Staffordshire University </t>
  </si>
  <si>
    <t xml:space="preserve">H-0078 </t>
  </si>
  <si>
    <t xml:space="preserve">University of Sunderland </t>
  </si>
  <si>
    <t xml:space="preserve">H-0161 </t>
  </si>
  <si>
    <t xml:space="preserve">University of Surrey </t>
  </si>
  <si>
    <t xml:space="preserve">H-0162 </t>
  </si>
  <si>
    <t xml:space="preserve">University of Sussex </t>
  </si>
  <si>
    <t xml:space="preserve">H-0079 </t>
  </si>
  <si>
    <t xml:space="preserve">Teesside University </t>
  </si>
  <si>
    <t xml:space="preserve">H-0041 </t>
  </si>
  <si>
    <t xml:space="preserve">Trinity Laban Conservatoire of Music and Dance </t>
  </si>
  <si>
    <t xml:space="preserve">H-0163 </t>
  </si>
  <si>
    <t xml:space="preserve">University of Warwick </t>
  </si>
  <si>
    <t xml:space="preserve">H-0081 </t>
  </si>
  <si>
    <t xml:space="preserve">University of the West of England, Bristol </t>
  </si>
  <si>
    <t xml:space="preserve">H-0080 </t>
  </si>
  <si>
    <t xml:space="preserve">The University of West London </t>
  </si>
  <si>
    <t xml:space="preserve">H-0083 </t>
  </si>
  <si>
    <t xml:space="preserve">University of Westminster </t>
  </si>
  <si>
    <t xml:space="preserve">H-0021 </t>
  </si>
  <si>
    <t xml:space="preserve">University of Winchester </t>
  </si>
  <si>
    <t xml:space="preserve">H-0085 </t>
  </si>
  <si>
    <t xml:space="preserve">University of Wolverhampton </t>
  </si>
  <si>
    <t xml:space="preserve">H-0046 </t>
  </si>
  <si>
    <t xml:space="preserve">University of Worcester </t>
  </si>
  <si>
    <t xml:space="preserve">H-0189 </t>
  </si>
  <si>
    <t xml:space="preserve">Writtle College </t>
  </si>
  <si>
    <t xml:space="preserve">H-0164 </t>
  </si>
  <si>
    <t xml:space="preserve">University of York </t>
  </si>
  <si>
    <t xml:space="preserve">H-0013 </t>
  </si>
  <si>
    <t xml:space="preserve">York St John University </t>
  </si>
  <si>
    <t>Total England</t>
  </si>
  <si>
    <t>Scotland</t>
  </si>
  <si>
    <t xml:space="preserve">H-0170 </t>
  </si>
  <si>
    <t xml:space="preserve">University of Aberdeen </t>
  </si>
  <si>
    <t xml:space="preserve">SC </t>
  </si>
  <si>
    <t xml:space="preserve">H-0095 </t>
  </si>
  <si>
    <t xml:space="preserve">University of Abertay Dundee </t>
  </si>
  <si>
    <t xml:space="preserve">H-0172 </t>
  </si>
  <si>
    <t xml:space="preserve">University of Dundee </t>
  </si>
  <si>
    <t xml:space="preserve">H-0167 </t>
  </si>
  <si>
    <t xml:space="preserve">University of Edinburgh </t>
  </si>
  <si>
    <t xml:space="preserve">H-0107 </t>
  </si>
  <si>
    <t xml:space="preserve">Edinburgh Napier University </t>
  </si>
  <si>
    <t xml:space="preserve">H-0168 </t>
  </si>
  <si>
    <t xml:space="preserve">University of Glasgow </t>
  </si>
  <si>
    <t xml:space="preserve">H-0106 </t>
  </si>
  <si>
    <t xml:space="preserve">Glasgow Caledonian University </t>
  </si>
  <si>
    <t xml:space="preserve">H-0097 </t>
  </si>
  <si>
    <t xml:space="preserve">Glasgow School of Art </t>
  </si>
  <si>
    <t xml:space="preserve">H-0171 </t>
  </si>
  <si>
    <t xml:space="preserve">Heriot-Watt University </t>
  </si>
  <si>
    <t xml:space="preserve">H-0100 </t>
  </si>
  <si>
    <t xml:space="preserve">Queen Margaret University Edinburgh </t>
  </si>
  <si>
    <t xml:space="preserve">H-0104 </t>
  </si>
  <si>
    <t xml:space="preserve">Robert Gordon University </t>
  </si>
  <si>
    <t xml:space="preserve">H-0101 </t>
  </si>
  <si>
    <t xml:space="preserve">Royal Conservatoire of Scotland </t>
  </si>
  <si>
    <t xml:space="preserve">H-0175 </t>
  </si>
  <si>
    <t xml:space="preserve">SRUC </t>
  </si>
  <si>
    <t xml:space="preserve">H-0173 </t>
  </si>
  <si>
    <t xml:space="preserve">University of St Andrews </t>
  </si>
  <si>
    <t xml:space="preserve">H-0174 </t>
  </si>
  <si>
    <t xml:space="preserve">University of Stirling </t>
  </si>
  <si>
    <t xml:space="preserve">H-0169 </t>
  </si>
  <si>
    <t xml:space="preserve">University of Strathclyde </t>
  </si>
  <si>
    <t xml:space="preserve">H-0196 </t>
  </si>
  <si>
    <t xml:space="preserve">University of the Highlands and Islands </t>
  </si>
  <si>
    <t xml:space="preserve">H-0105 </t>
  </si>
  <si>
    <t xml:space="preserve">University of the West of Scotland </t>
  </si>
  <si>
    <t>Total Scotland</t>
  </si>
  <si>
    <t>Wales</t>
  </si>
  <si>
    <t xml:space="preserve">H-0177 </t>
  </si>
  <si>
    <t xml:space="preserve">Aberystwyth University </t>
  </si>
  <si>
    <t xml:space="preserve">WA </t>
  </si>
  <si>
    <t xml:space="preserve">H-0178 </t>
  </si>
  <si>
    <t xml:space="preserve">Bangor University </t>
  </si>
  <si>
    <t xml:space="preserve">H-0179 </t>
  </si>
  <si>
    <t xml:space="preserve">Cardiff University </t>
  </si>
  <si>
    <t xml:space="preserve">H-0089 </t>
  </si>
  <si>
    <t xml:space="preserve">Cardiff Metropolitan University </t>
  </si>
  <si>
    <t xml:space="preserve">H-0090 </t>
  </si>
  <si>
    <t xml:space="preserve">University of Glamorgan </t>
  </si>
  <si>
    <t xml:space="preserve">H-0087 </t>
  </si>
  <si>
    <t xml:space="preserve">Glyndwr University </t>
  </si>
  <si>
    <t xml:space="preserve">H-0086 </t>
  </si>
  <si>
    <t xml:space="preserve">University of Wales, Newport </t>
  </si>
  <si>
    <t xml:space="preserve">H-0180 </t>
  </si>
  <si>
    <t xml:space="preserve">Swansea University </t>
  </si>
  <si>
    <t xml:space="preserve">H-0091 </t>
  </si>
  <si>
    <t xml:space="preserve">Swansea Metropolitan University </t>
  </si>
  <si>
    <t xml:space="preserve">H-0176 </t>
  </si>
  <si>
    <t xml:space="preserve">University of Wales Trinity Saint David </t>
  </si>
  <si>
    <t xml:space="preserve">H-0186 </t>
  </si>
  <si>
    <t xml:space="preserve">University of Wales </t>
  </si>
  <si>
    <t>Northern Ireland</t>
  </si>
  <si>
    <t xml:space="preserve">H-0184 </t>
  </si>
  <si>
    <t xml:space="preserve">Queen's University Belfast </t>
  </si>
  <si>
    <t xml:space="preserve">NI </t>
  </si>
  <si>
    <t xml:space="preserve">H-0194 </t>
  </si>
  <si>
    <t xml:space="preserve">St Mary's University College; A College of The Queen's University of Belfast </t>
  </si>
  <si>
    <t xml:space="preserve">H-0193 </t>
  </si>
  <si>
    <t xml:space="preserve">Stranmillis University College </t>
  </si>
  <si>
    <t xml:space="preserve">H-0185 </t>
  </si>
  <si>
    <t xml:space="preserve">University of Ulster </t>
  </si>
  <si>
    <t>Total Northern Ireland</t>
  </si>
  <si>
    <t>UK sector total</t>
  </si>
  <si>
    <t>Summary of English regions</t>
  </si>
  <si>
    <t>£billion</t>
  </si>
  <si>
    <t>NE</t>
  </si>
  <si>
    <t>NW</t>
  </si>
  <si>
    <t>YH</t>
  </si>
  <si>
    <t>EM</t>
  </si>
  <si>
    <t>WM</t>
  </si>
  <si>
    <t>SW</t>
  </si>
  <si>
    <t>SE</t>
  </si>
  <si>
    <t>GL</t>
  </si>
  <si>
    <t>ES</t>
  </si>
  <si>
    <t>OU</t>
  </si>
  <si>
    <t>All English regions</t>
  </si>
  <si>
    <t>Total collected AY 2012/13 (incl. VAT @ 20%):</t>
  </si>
  <si>
    <t>Uplift to AY 2012/13 total (determined by HEFCs):</t>
  </si>
  <si>
    <t>Total amount to collect in AY 2013/14:</t>
  </si>
  <si>
    <t>comparison:</t>
  </si>
  <si>
    <t>increase/decrease:</t>
  </si>
  <si>
    <t>% change</t>
  </si>
  <si>
    <t>excl. VAT</t>
  </si>
  <si>
    <t>incl. VAT</t>
  </si>
  <si>
    <t>(incl. VAT)</t>
  </si>
  <si>
    <r>
      <rPr>
        <sz val="11"/>
        <color rgb="FFFF0000"/>
        <rFont val="Calibri"/>
        <family val="2"/>
        <scheme val="minor"/>
      </rPr>
      <t>(</t>
    </r>
    <r>
      <rPr>
        <u/>
        <sz val="11"/>
        <color rgb="FFFF0000"/>
        <rFont val="Calibri"/>
        <family val="2"/>
        <scheme val="minor"/>
      </rPr>
      <t>red</t>
    </r>
    <r>
      <rPr>
        <sz val="11"/>
        <color rgb="FFFF0000"/>
        <rFont val="Calibri"/>
        <family val="2"/>
        <scheme val="minor"/>
      </rPr>
      <t xml:space="preserve"> indicates decrease)</t>
    </r>
  </si>
  <si>
    <t>charge reduction given by JISC to Open University</t>
  </si>
  <si>
    <t>Institutions subject to charge</t>
  </si>
  <si>
    <t xml:space="preserve">H-0207 </t>
  </si>
  <si>
    <t xml:space="preserve">Leeds College of Music </t>
  </si>
  <si>
    <t>Charge for AY 2013/14:</t>
  </si>
  <si>
    <t>AY 2012/13</t>
  </si>
  <si>
    <t>(AY13/14 - AY12/13)</t>
  </si>
  <si>
    <t xml:space="preserve">NETWORK CHARGE CALCUATION </t>
  </si>
  <si>
    <t>Breakdown by country (incl. VAT):</t>
  </si>
  <si>
    <t>Totals</t>
  </si>
  <si>
    <t>Distribution of changes</t>
  </si>
  <si>
    <t>95th %ile</t>
  </si>
  <si>
    <t>Median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</si>
</sst>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#,##0.0"/>
    <numFmt numFmtId="165" formatCode="&quot;£&quot;#,##0"/>
    <numFmt numFmtId="166" formatCode="&quot;£&quot;#,##0.00"/>
    <numFmt numFmtId="167" formatCode="&quot;£&quot;#,##0.00;[Red]&quot;£&quot;#,##0.00"/>
    <numFmt numFmtId="168" formatCode="0.0%"/>
  </numFmts>
  <fonts count="11"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Border="1"/>
    <xf numFmtId="3" fontId="3" fillId="0" borderId="0" xfId="0" applyNumberFormat="1" applyFont="1" applyBorder="1"/>
    <xf numFmtId="0" fontId="4" fillId="0" borderId="0" xfId="0" applyFont="1" applyBorder="1"/>
    <xf numFmtId="0" fontId="0" fillId="0" borderId="0" xfId="0" applyBorder="1"/>
    <xf numFmtId="3" fontId="0" fillId="0" borderId="0" xfId="0" applyNumberFormat="1" applyBorder="1"/>
    <xf numFmtId="0" fontId="2" fillId="0" borderId="0" xfId="0" applyFont="1" applyBorder="1"/>
    <xf numFmtId="0" fontId="4" fillId="0" borderId="1" xfId="0" applyFont="1" applyBorder="1" applyAlignment="1"/>
    <xf numFmtId="0" fontId="4" fillId="0" borderId="0" xfId="0" applyFont="1" applyAlignment="1"/>
    <xf numFmtId="0" fontId="4" fillId="0" borderId="2" xfId="0" applyFont="1" applyBorder="1" applyAlignment="1"/>
    <xf numFmtId="3" fontId="4" fillId="0" borderId="0" xfId="0" applyNumberFormat="1" applyFont="1" applyBorder="1" applyAlignment="1">
      <alignment horizontal="right" wrapText="1"/>
    </xf>
    <xf numFmtId="0" fontId="2" fillId="0" borderId="3" xfId="0" applyFont="1" applyBorder="1"/>
    <xf numFmtId="3" fontId="2" fillId="0" borderId="3" xfId="0" applyNumberFormat="1" applyFont="1" applyBorder="1"/>
    <xf numFmtId="0" fontId="2" fillId="0" borderId="3" xfId="0" applyFont="1" applyFill="1" applyBorder="1"/>
    <xf numFmtId="3" fontId="2" fillId="0" borderId="3" xfId="0" applyNumberFormat="1" applyFont="1" applyFill="1" applyBorder="1"/>
    <xf numFmtId="0" fontId="0" fillId="0" borderId="0" xfId="0" applyFill="1"/>
    <xf numFmtId="0" fontId="4" fillId="0" borderId="4" xfId="0" applyFont="1" applyBorder="1"/>
    <xf numFmtId="3" fontId="4" fillId="0" borderId="4" xfId="1" applyNumberFormat="1" applyFont="1" applyBorder="1"/>
    <xf numFmtId="3" fontId="0" fillId="0" borderId="0" xfId="0" applyNumberFormat="1" applyFill="1"/>
    <xf numFmtId="0" fontId="4" fillId="0" borderId="0" xfId="0" applyFont="1" applyFill="1" applyBorder="1"/>
    <xf numFmtId="3" fontId="0" fillId="0" borderId="0" xfId="1" applyNumberFormat="1" applyFont="1" applyBorder="1"/>
    <xf numFmtId="0" fontId="2" fillId="0" borderId="3" xfId="0" applyNumberFormat="1" applyFont="1" applyFill="1" applyBorder="1"/>
    <xf numFmtId="0" fontId="2" fillId="0" borderId="5" xfId="0" applyFont="1" applyBorder="1"/>
    <xf numFmtId="3" fontId="2" fillId="0" borderId="5" xfId="0" applyNumberFormat="1" applyFont="1" applyBorder="1"/>
    <xf numFmtId="0" fontId="4" fillId="0" borderId="4" xfId="0" applyFont="1" applyFill="1" applyBorder="1"/>
    <xf numFmtId="0" fontId="0" fillId="0" borderId="0" xfId="0" applyAlignment="1">
      <alignment horizontal="right"/>
    </xf>
    <xf numFmtId="0" fontId="0" fillId="0" borderId="3" xfId="0" applyBorder="1"/>
    <xf numFmtId="3" fontId="0" fillId="0" borderId="3" xfId="0" applyNumberFormat="1" applyBorder="1"/>
    <xf numFmtId="164" fontId="0" fillId="0" borderId="3" xfId="0" applyNumberFormat="1" applyBorder="1"/>
    <xf numFmtId="0" fontId="4" fillId="0" borderId="3" xfId="0" applyFont="1" applyFill="1" applyBorder="1"/>
    <xf numFmtId="3" fontId="4" fillId="0" borderId="3" xfId="1" applyNumberFormat="1" applyFont="1" applyBorder="1"/>
    <xf numFmtId="3" fontId="0" fillId="0" borderId="3" xfId="1" applyNumberFormat="1" applyFont="1" applyBorder="1"/>
    <xf numFmtId="0" fontId="2" fillId="0" borderId="6" xfId="0" applyFont="1" applyFill="1" applyBorder="1"/>
    <xf numFmtId="0" fontId="0" fillId="0" borderId="6" xfId="0" applyBorder="1"/>
    <xf numFmtId="3" fontId="0" fillId="0" borderId="6" xfId="0" applyNumberFormat="1" applyBorder="1"/>
    <xf numFmtId="164" fontId="0" fillId="0" borderId="6" xfId="0" applyNumberFormat="1" applyBorder="1"/>
    <xf numFmtId="0" fontId="2" fillId="0" borderId="4" xfId="0" applyFont="1" applyFill="1" applyBorder="1"/>
    <xf numFmtId="0" fontId="0" fillId="0" borderId="4" xfId="0" applyBorder="1"/>
    <xf numFmtId="3" fontId="4" fillId="0" borderId="4" xfId="0" applyNumberFormat="1" applyFont="1" applyBorder="1"/>
    <xf numFmtId="164" fontId="4" fillId="0" borderId="4" xfId="0" applyNumberFormat="1" applyFont="1" applyBorder="1"/>
    <xf numFmtId="0" fontId="5" fillId="0" borderId="7" xfId="0" applyFont="1" applyBorder="1"/>
    <xf numFmtId="0" fontId="5" fillId="0" borderId="1" xfId="0" applyFont="1" applyBorder="1" applyAlignment="1">
      <alignment horizontal="right"/>
    </xf>
    <xf numFmtId="165" fontId="5" fillId="0" borderId="8" xfId="0" applyNumberFormat="1" applyFont="1" applyBorder="1"/>
    <xf numFmtId="0" fontId="5" fillId="0" borderId="0" xfId="0" applyFont="1"/>
    <xf numFmtId="0" fontId="5" fillId="0" borderId="9" xfId="0" applyFont="1" applyBorder="1"/>
    <xf numFmtId="0" fontId="5" fillId="0" borderId="0" xfId="0" applyFont="1" applyBorder="1" applyAlignment="1">
      <alignment horizontal="right"/>
    </xf>
    <xf numFmtId="10" fontId="5" fillId="0" borderId="10" xfId="0" applyNumberFormat="1" applyFont="1" applyBorder="1"/>
    <xf numFmtId="0" fontId="5" fillId="0" borderId="11" xfId="0" applyFont="1" applyBorder="1"/>
    <xf numFmtId="0" fontId="6" fillId="0" borderId="2" xfId="0" applyFont="1" applyBorder="1" applyAlignment="1">
      <alignment horizontal="right"/>
    </xf>
    <xf numFmtId="165" fontId="6" fillId="0" borderId="12" xfId="0" applyNumberFormat="1" applyFont="1" applyBorder="1"/>
    <xf numFmtId="0" fontId="5" fillId="0" borderId="0" xfId="0" applyFont="1" applyBorder="1"/>
    <xf numFmtId="0" fontId="6" fillId="0" borderId="0" xfId="0" applyFont="1" applyBorder="1" applyAlignment="1">
      <alignment horizontal="right"/>
    </xf>
    <xf numFmtId="165" fontId="6" fillId="0" borderId="0" xfId="0" applyNumberFormat="1" applyFont="1" applyBorder="1"/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166" fontId="5" fillId="0" borderId="0" xfId="0" applyNumberFormat="1" applyFont="1"/>
    <xf numFmtId="0" fontId="5" fillId="0" borderId="0" xfId="0" applyFont="1" applyAlignment="1">
      <alignment horizontal="right"/>
    </xf>
    <xf numFmtId="166" fontId="6" fillId="0" borderId="14" xfId="0" applyNumberFormat="1" applyFont="1" applyBorder="1"/>
    <xf numFmtId="166" fontId="6" fillId="0" borderId="13" xfId="0" applyNumberFormat="1" applyFont="1" applyBorder="1"/>
    <xf numFmtId="167" fontId="5" fillId="0" borderId="0" xfId="0" applyNumberFormat="1" applyFont="1" applyBorder="1"/>
    <xf numFmtId="168" fontId="5" fillId="0" borderId="0" xfId="0" applyNumberFormat="1" applyFont="1" applyAlignment="1">
      <alignment horizontal="right"/>
    </xf>
    <xf numFmtId="166" fontId="6" fillId="0" borderId="0" xfId="0" applyNumberFormat="1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7" xfId="0" applyFont="1" applyBorder="1"/>
    <xf numFmtId="0" fontId="5" fillId="0" borderId="1" xfId="0" applyFont="1" applyBorder="1"/>
    <xf numFmtId="166" fontId="5" fillId="0" borderId="0" xfId="0" applyNumberFormat="1" applyFont="1" applyBorder="1"/>
    <xf numFmtId="10" fontId="5" fillId="0" borderId="0" xfId="2" applyNumberFormat="1" applyFont="1" applyBorder="1"/>
    <xf numFmtId="168" fontId="5" fillId="0" borderId="0" xfId="2" applyNumberFormat="1" applyFont="1" applyBorder="1"/>
    <xf numFmtId="168" fontId="5" fillId="0" borderId="10" xfId="2" applyNumberFormat="1" applyFont="1" applyBorder="1"/>
    <xf numFmtId="0" fontId="6" fillId="0" borderId="11" xfId="0" applyFont="1" applyBorder="1"/>
    <xf numFmtId="0" fontId="5" fillId="0" borderId="2" xfId="0" applyFont="1" applyBorder="1"/>
    <xf numFmtId="166" fontId="6" fillId="0" borderId="2" xfId="0" applyNumberFormat="1" applyFont="1" applyBorder="1"/>
    <xf numFmtId="9" fontId="6" fillId="0" borderId="2" xfId="2" applyFont="1" applyBorder="1"/>
    <xf numFmtId="168" fontId="5" fillId="0" borderId="2" xfId="2" applyNumberFormat="1" applyFont="1" applyBorder="1"/>
    <xf numFmtId="168" fontId="5" fillId="0" borderId="12" xfId="2" applyNumberFormat="1" applyFont="1" applyBorder="1"/>
    <xf numFmtId="0" fontId="10" fillId="0" borderId="0" xfId="0" applyFont="1"/>
    <xf numFmtId="3" fontId="4" fillId="0" borderId="4" xfId="1" applyNumberFormat="1" applyFont="1" applyFill="1" applyBorder="1"/>
    <xf numFmtId="3" fontId="4" fillId="0" borderId="0" xfId="1" applyNumberFormat="1" applyFont="1" applyFill="1" applyBorder="1"/>
    <xf numFmtId="3" fontId="2" fillId="0" borderId="3" xfId="1" applyNumberFormat="1" applyFont="1" applyFill="1" applyBorder="1"/>
    <xf numFmtId="0" fontId="2" fillId="0" borderId="0" xfId="0" applyFont="1" applyFill="1"/>
    <xf numFmtId="0" fontId="2" fillId="0" borderId="0" xfId="0" applyFont="1" applyFill="1" applyBorder="1"/>
    <xf numFmtId="0" fontId="0" fillId="0" borderId="0" xfId="0" applyFill="1" applyBorder="1"/>
    <xf numFmtId="3" fontId="0" fillId="0" borderId="0" xfId="1" applyNumberFormat="1" applyFont="1" applyFill="1" applyBorder="1"/>
    <xf numFmtId="3" fontId="4" fillId="0" borderId="1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0" fontId="4" fillId="0" borderId="1" xfId="0" applyFont="1" applyBorder="1" applyAlignment="1"/>
    <xf numFmtId="0" fontId="4" fillId="0" borderId="0" xfId="0" applyFont="1" applyAlignment="1"/>
    <xf numFmtId="0" fontId="4" fillId="0" borderId="2" xfId="0" applyFont="1" applyBorder="1" applyAlignment="1"/>
    <xf numFmtId="165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166" fontId="6" fillId="0" borderId="8" xfId="0" applyNumberFormat="1" applyFont="1" applyBorder="1" applyAlignment="1">
      <alignment horizontal="center"/>
    </xf>
    <xf numFmtId="166" fontId="5" fillId="2" borderId="0" xfId="0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5</xdr:row>
      <xdr:rowOff>47625</xdr:rowOff>
    </xdr:from>
    <xdr:to>
      <xdr:col>1</xdr:col>
      <xdr:colOff>2333625</xdr:colOff>
      <xdr:row>6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05150" y="895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</xdr:row>
      <xdr:rowOff>123825</xdr:rowOff>
    </xdr:from>
    <xdr:to>
      <xdr:col>3</xdr:col>
      <xdr:colOff>76200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03860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123825</xdr:rowOff>
    </xdr:from>
    <xdr:to>
      <xdr:col>4</xdr:col>
      <xdr:colOff>76200</xdr:colOff>
      <xdr:row>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81965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</xdr:row>
      <xdr:rowOff>123825</xdr:rowOff>
    </xdr:from>
    <xdr:to>
      <xdr:col>6</xdr:col>
      <xdr:colOff>76200</xdr:colOff>
      <xdr:row>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38175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</xdr:row>
      <xdr:rowOff>123825</xdr:rowOff>
    </xdr:from>
    <xdr:to>
      <xdr:col>5</xdr:col>
      <xdr:colOff>76200</xdr:colOff>
      <xdr:row>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60070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123825</xdr:rowOff>
    </xdr:from>
    <xdr:to>
      <xdr:col>7</xdr:col>
      <xdr:colOff>76200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716280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</xdr:row>
      <xdr:rowOff>123825</xdr:rowOff>
    </xdr:from>
    <xdr:to>
      <xdr:col>8</xdr:col>
      <xdr:colOff>76200</xdr:colOff>
      <xdr:row>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798195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</xdr:row>
      <xdr:rowOff>123825</xdr:rowOff>
    </xdr:from>
    <xdr:to>
      <xdr:col>9</xdr:col>
      <xdr:colOff>76200</xdr:colOff>
      <xdr:row>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86777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len\AppData\Local\Microsoft\Windows\Temporary%20Internet%20Files\Content.Outlook\2PW6G3EQ\network%20charges%2012-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arges AY 2012-13"/>
      <sheetName val="Incomes AY 2010-11"/>
      <sheetName val="12-13"/>
      <sheetName val="NOTES"/>
    </sheetNames>
    <sheetDataSet>
      <sheetData sheetId="0">
        <row r="1">
          <cell r="C1" t="str">
            <v>Total collected AY 2011/12 (incl. VAT @ 20%):</v>
          </cell>
          <cell r="D1">
            <v>6382979</v>
          </cell>
        </row>
        <row r="2">
          <cell r="C2" t="str">
            <v>Uplift to AY 2011/12 total (determined by HEFCs):</v>
          </cell>
          <cell r="D2">
            <v>0</v>
          </cell>
        </row>
        <row r="3">
          <cell r="C3" t="str">
            <v>Total amount to collect in AY 2012/13:</v>
          </cell>
          <cell r="D3">
            <v>6382979</v>
          </cell>
        </row>
        <row r="5">
          <cell r="D5" t="str">
            <v>Charge for AY 2012/13:</v>
          </cell>
        </row>
        <row r="6">
          <cell r="C6" t="str">
            <v>excl. VAT</v>
          </cell>
          <cell r="D6" t="str">
            <v>incl. VAT</v>
          </cell>
        </row>
        <row r="8">
          <cell r="A8" t="str">
            <v>England</v>
          </cell>
        </row>
        <row r="10">
          <cell r="A10" t="str">
            <v xml:space="preserve">H-0047 </v>
          </cell>
          <cell r="B10" t="str">
            <v xml:space="preserve">Anglia Ruskin University </v>
          </cell>
          <cell r="C10">
            <v>32132.163949638631</v>
          </cell>
          <cell r="D10">
            <v>38558.596739566354</v>
          </cell>
        </row>
        <row r="11">
          <cell r="A11" t="str">
            <v xml:space="preserve">H-0108 </v>
          </cell>
          <cell r="B11" t="str">
            <v xml:space="preserve">Aston University </v>
          </cell>
          <cell r="C11">
            <v>21618.022777689908</v>
          </cell>
          <cell r="D11">
            <v>25941.627333227887</v>
          </cell>
        </row>
        <row r="12">
          <cell r="A12" t="str">
            <v xml:space="preserve">H-0109 </v>
          </cell>
          <cell r="B12" t="str">
            <v xml:space="preserve">University of Bath </v>
          </cell>
          <cell r="C12">
            <v>36782.500926256122</v>
          </cell>
          <cell r="D12">
            <v>44139.001111507343</v>
          </cell>
        </row>
        <row r="13">
          <cell r="A13" t="str">
            <v xml:space="preserve">H-0048 </v>
          </cell>
          <cell r="B13" t="str">
            <v xml:space="preserve">Bath Spa University </v>
          </cell>
          <cell r="C13">
            <v>9957.2284636784461</v>
          </cell>
          <cell r="D13">
            <v>11948.674156414136</v>
          </cell>
        </row>
        <row r="14">
          <cell r="A14" t="str">
            <v xml:space="preserve">H-0026 </v>
          </cell>
          <cell r="B14" t="str">
            <v xml:space="preserve">University of Bedfordshire </v>
          </cell>
          <cell r="C14">
            <v>24032.984750515185</v>
          </cell>
          <cell r="D14">
            <v>28839.581700618219</v>
          </cell>
        </row>
        <row r="15">
          <cell r="A15" t="str">
            <v xml:space="preserve">H-0127 </v>
          </cell>
          <cell r="B15" t="str">
            <v xml:space="preserve">Birkbeck College </v>
          </cell>
          <cell r="C15">
            <v>17111.741584834417</v>
          </cell>
          <cell r="D15">
            <v>20534.089901801301</v>
          </cell>
        </row>
        <row r="16">
          <cell r="A16" t="str">
            <v xml:space="preserve">H-0110 </v>
          </cell>
          <cell r="B16" t="str">
            <v xml:space="preserve">University of Birmingham </v>
          </cell>
          <cell r="C16">
            <v>90903.447847717427</v>
          </cell>
          <cell r="D16">
            <v>109084.13741726091</v>
          </cell>
        </row>
        <row r="17">
          <cell r="A17" t="str">
            <v xml:space="preserve">H-0052 </v>
          </cell>
          <cell r="B17" t="str">
            <v xml:space="preserve">Birmingham City University </v>
          </cell>
          <cell r="C17">
            <v>32744.690687028829</v>
          </cell>
          <cell r="D17">
            <v>39293.628824434592</v>
          </cell>
        </row>
        <row r="18">
          <cell r="A18" t="str">
            <v xml:space="preserve">H-0200 </v>
          </cell>
          <cell r="B18" t="str">
            <v xml:space="preserve">University College Birmingham </v>
          </cell>
          <cell r="C18">
            <v>8539.0707211205681</v>
          </cell>
          <cell r="D18">
            <v>10246.88486534468</v>
          </cell>
        </row>
        <row r="19">
          <cell r="A19" t="str">
            <v xml:space="preserve">H-0007 </v>
          </cell>
          <cell r="B19" t="str">
            <v xml:space="preserve">Bishop Grosseteste University College, Lincoln </v>
          </cell>
          <cell r="C19">
            <v>3155.5168397519487</v>
          </cell>
          <cell r="D19">
            <v>3786.6202077023386</v>
          </cell>
        </row>
        <row r="20">
          <cell r="A20" t="str">
            <v xml:space="preserve">H-0049 </v>
          </cell>
          <cell r="B20" t="str">
            <v xml:space="preserve">University of Bolton </v>
          </cell>
          <cell r="C20">
            <v>9862.607372467477</v>
          </cell>
          <cell r="D20">
            <v>11835.128846960972</v>
          </cell>
        </row>
        <row r="21">
          <cell r="A21" t="str">
            <v xml:space="preserve">H-0197 </v>
          </cell>
          <cell r="B21" t="str">
            <v xml:space="preserve">The Arts University College at Bournemouth </v>
          </cell>
          <cell r="C21">
            <v>4908.3242783682172</v>
          </cell>
          <cell r="D21">
            <v>5889.9891340418608</v>
          </cell>
        </row>
        <row r="22">
          <cell r="A22" t="str">
            <v xml:space="preserve">H-0050 </v>
          </cell>
          <cell r="B22" t="str">
            <v xml:space="preserve">Bournemouth University </v>
          </cell>
          <cell r="C22">
            <v>23374.885405929501</v>
          </cell>
          <cell r="D22">
            <v>28049.862487115399</v>
          </cell>
        </row>
        <row r="23">
          <cell r="A23" t="str">
            <v xml:space="preserve">H-0111 </v>
          </cell>
          <cell r="B23" t="str">
            <v xml:space="preserve">University of Bradford </v>
          </cell>
          <cell r="C23">
            <v>24989.043980281531</v>
          </cell>
          <cell r="D23">
            <v>29986.852776337837</v>
          </cell>
        </row>
        <row r="24">
          <cell r="A24" t="str">
            <v xml:space="preserve">H-0051 </v>
          </cell>
          <cell r="B24" t="str">
            <v xml:space="preserve">University of Brighton </v>
          </cell>
          <cell r="C24">
            <v>33330.762139733502</v>
          </cell>
          <cell r="D24">
            <v>39996.9145676802</v>
          </cell>
        </row>
        <row r="25">
          <cell r="A25" t="str">
            <v xml:space="preserve">H-0112 </v>
          </cell>
          <cell r="B25" t="str">
            <v xml:space="preserve">University of Bristol </v>
          </cell>
          <cell r="C25">
            <v>78944.693648525325</v>
          </cell>
          <cell r="D25">
            <v>94733.632378230381</v>
          </cell>
        </row>
        <row r="26">
          <cell r="A26" t="str">
            <v xml:space="preserve">H-0113 </v>
          </cell>
          <cell r="B26" t="str">
            <v xml:space="preserve">Brunel University </v>
          </cell>
          <cell r="C26">
            <v>34469.304902549586</v>
          </cell>
          <cell r="D26">
            <v>41363.165883059497</v>
          </cell>
        </row>
        <row r="27">
          <cell r="A27" t="str">
            <v xml:space="preserve">H-0009 </v>
          </cell>
          <cell r="B27" t="str">
            <v xml:space="preserve">Buckinghamshire New University </v>
          </cell>
          <cell r="C27">
            <v>11483.7177004595</v>
          </cell>
          <cell r="D27">
            <v>13780.461240551398</v>
          </cell>
        </row>
        <row r="28">
          <cell r="A28" t="str">
            <v xml:space="preserve">H-0114 </v>
          </cell>
          <cell r="B28" t="str">
            <v xml:space="preserve">University of Cambridge </v>
          </cell>
          <cell r="C28">
            <v>241666.90145524318</v>
          </cell>
          <cell r="D28">
            <v>290000.28174629179</v>
          </cell>
        </row>
        <row r="29">
          <cell r="A29" t="str">
            <v xml:space="preserve">H-0188 </v>
          </cell>
          <cell r="B29" t="str">
            <v xml:space="preserve">Institute of Cancer Research </v>
          </cell>
          <cell r="C29">
            <v>16483.573401754245</v>
          </cell>
          <cell r="D29">
            <v>19780.288082105093</v>
          </cell>
        </row>
        <row r="30">
          <cell r="A30" t="str">
            <v xml:space="preserve">H-0012 </v>
          </cell>
          <cell r="B30" t="str">
            <v xml:space="preserve">Canterbury Christ Church University </v>
          </cell>
          <cell r="C30">
            <v>22968.78713079344</v>
          </cell>
          <cell r="D30">
            <v>27562.544556952129</v>
          </cell>
        </row>
        <row r="31">
          <cell r="A31" t="str">
            <v xml:space="preserve">H-0053 </v>
          </cell>
          <cell r="B31" t="str">
            <v xml:space="preserve">University of Central Lancashire </v>
          </cell>
          <cell r="C31">
            <v>39921.410798979203</v>
          </cell>
          <cell r="D31">
            <v>47905.692958775042</v>
          </cell>
        </row>
        <row r="32">
          <cell r="A32" t="str">
            <v xml:space="preserve">H-0010 </v>
          </cell>
          <cell r="B32" t="str">
            <v xml:space="preserve">Central School of Speech and Drama </v>
          </cell>
          <cell r="C32">
            <v>2432.3413569252525</v>
          </cell>
          <cell r="D32">
            <v>2918.8096283103027</v>
          </cell>
        </row>
        <row r="33">
          <cell r="A33" t="str">
            <v xml:space="preserve">H-0011 </v>
          </cell>
          <cell r="B33" t="str">
            <v xml:space="preserve">University of Chester </v>
          </cell>
          <cell r="C33">
            <v>15388.09289065255</v>
          </cell>
          <cell r="D33">
            <v>18465.711468783058</v>
          </cell>
        </row>
        <row r="34">
          <cell r="A34" t="str">
            <v xml:space="preserve">H-0082 </v>
          </cell>
          <cell r="B34" t="str">
            <v xml:space="preserve">University of Chichester </v>
          </cell>
          <cell r="C34">
            <v>7843.895357121607</v>
          </cell>
          <cell r="D34">
            <v>9412.6744285459281</v>
          </cell>
        </row>
        <row r="35">
          <cell r="A35" t="str">
            <v xml:space="preserve">H-0115 </v>
          </cell>
          <cell r="B35" t="str">
            <v xml:space="preserve">City University, London </v>
          </cell>
          <cell r="C35">
            <v>34843.347869234574</v>
          </cell>
          <cell r="D35">
            <v>41812.017443081488</v>
          </cell>
        </row>
        <row r="36">
          <cell r="A36" t="str">
            <v xml:space="preserve">H-0201 </v>
          </cell>
          <cell r="B36" t="str">
            <v xml:space="preserve">Courtauld Institute of Art </v>
          </cell>
          <cell r="C36">
            <v>2603.6248424438859</v>
          </cell>
          <cell r="D36">
            <v>3124.3498109326629</v>
          </cell>
        </row>
        <row r="37">
          <cell r="A37" t="str">
            <v xml:space="preserve">H-0056 </v>
          </cell>
          <cell r="B37" t="str">
            <v xml:space="preserve">Coventry University </v>
          </cell>
          <cell r="C37">
            <v>37270.668515197613</v>
          </cell>
          <cell r="D37">
            <v>44724.802218237135</v>
          </cell>
        </row>
        <row r="38">
          <cell r="A38" t="str">
            <v xml:space="preserve">H-0002 </v>
          </cell>
          <cell r="B38" t="str">
            <v xml:space="preserve">Cranfield University </v>
          </cell>
          <cell r="C38">
            <v>32693.904264603341</v>
          </cell>
          <cell r="D38">
            <v>39232.685117524008</v>
          </cell>
        </row>
        <row r="39">
          <cell r="A39" t="str">
            <v xml:space="preserve">H-0206 </v>
          </cell>
          <cell r="B39" t="str">
            <v xml:space="preserve">University for the Creative Arts </v>
          </cell>
          <cell r="C39">
            <v>11322.668741133073</v>
          </cell>
          <cell r="D39">
            <v>13587.202489359688</v>
          </cell>
        </row>
        <row r="40">
          <cell r="A40" t="str">
            <v xml:space="preserve">H-0038 </v>
          </cell>
          <cell r="B40" t="str">
            <v xml:space="preserve">University of Cumbria </v>
          </cell>
          <cell r="C40">
            <v>16655.243095808433</v>
          </cell>
          <cell r="D40">
            <v>19986.291714970121</v>
          </cell>
        </row>
        <row r="41">
          <cell r="A41" t="str">
            <v xml:space="preserve">H-0199 </v>
          </cell>
          <cell r="B41" t="str">
            <v xml:space="preserve">Conservatoire for Dance and Drama </v>
          </cell>
          <cell r="C41">
            <v>2997.7506529777402</v>
          </cell>
          <cell r="D41">
            <v>3597.3007835732883</v>
          </cell>
        </row>
        <row r="42">
          <cell r="A42" t="str">
            <v xml:space="preserve">H-0068 </v>
          </cell>
          <cell r="B42" t="str">
            <v xml:space="preserve">De Montfort University </v>
          </cell>
          <cell r="C42">
            <v>28856.150046793533</v>
          </cell>
          <cell r="D42">
            <v>34627.380056152237</v>
          </cell>
        </row>
        <row r="43">
          <cell r="A43" t="str">
            <v xml:space="preserve">H-0057 </v>
          </cell>
          <cell r="B43" t="str">
            <v xml:space="preserve">University of Derby </v>
          </cell>
          <cell r="C43">
            <v>23227.73995388305</v>
          </cell>
          <cell r="D43">
            <v>27873.28794465966</v>
          </cell>
        </row>
        <row r="44">
          <cell r="A44" t="str">
            <v xml:space="preserve">H-0116 </v>
          </cell>
          <cell r="B44" t="str">
            <v xml:space="preserve">University of Durham </v>
          </cell>
          <cell r="C44">
            <v>49265.533212464135</v>
          </cell>
          <cell r="D44">
            <v>59118.639854956957</v>
          </cell>
        </row>
        <row r="45">
          <cell r="A45" t="str">
            <v xml:space="preserve">H-0117 </v>
          </cell>
          <cell r="B45" t="str">
            <v xml:space="preserve">University of East Anglia </v>
          </cell>
          <cell r="C45">
            <v>44793.0452664697</v>
          </cell>
          <cell r="D45">
            <v>53751.654319763642</v>
          </cell>
        </row>
        <row r="46">
          <cell r="A46" t="str">
            <v xml:space="preserve">H-0058 </v>
          </cell>
          <cell r="B46" t="str">
            <v xml:space="preserve">University of East London </v>
          </cell>
          <cell r="C46">
            <v>32149.350229470827</v>
          </cell>
          <cell r="D46">
            <v>38579.220275364991</v>
          </cell>
        </row>
        <row r="47">
          <cell r="A47" t="str">
            <v xml:space="preserve">H-0016 </v>
          </cell>
          <cell r="B47" t="str">
            <v xml:space="preserve">Edge Hill University </v>
          </cell>
          <cell r="C47">
            <v>19774.842541753769</v>
          </cell>
          <cell r="D47">
            <v>23729.811050104523</v>
          </cell>
        </row>
        <row r="48">
          <cell r="A48" t="str">
            <v xml:space="preserve">H-0133 </v>
          </cell>
          <cell r="B48" t="str">
            <v xml:space="preserve">Institute of Education </v>
          </cell>
          <cell r="C48">
            <v>13018.896629290537</v>
          </cell>
          <cell r="D48">
            <v>15622.675955148645</v>
          </cell>
        </row>
        <row r="49">
          <cell r="A49" t="str">
            <v xml:space="preserve">H-0118 </v>
          </cell>
          <cell r="B49" t="str">
            <v xml:space="preserve">University of Essex </v>
          </cell>
          <cell r="C49">
            <v>31837.873045545737</v>
          </cell>
          <cell r="D49">
            <v>38205.447654654883</v>
          </cell>
        </row>
        <row r="50">
          <cell r="A50" t="str">
            <v xml:space="preserve">H-0119 </v>
          </cell>
          <cell r="B50" t="str">
            <v xml:space="preserve">University of Exeter </v>
          </cell>
          <cell r="C50">
            <v>50038.336492109644</v>
          </cell>
          <cell r="D50">
            <v>60046.003790531569</v>
          </cell>
        </row>
        <row r="51">
          <cell r="A51" t="str">
            <v xml:space="preserve">H-0017 </v>
          </cell>
          <cell r="B51" t="str">
            <v xml:space="preserve">University College Falmouth </v>
          </cell>
          <cell r="C51">
            <v>8062.6824925135015</v>
          </cell>
          <cell r="D51">
            <v>9675.2189910162015</v>
          </cell>
        </row>
        <row r="52">
          <cell r="A52" t="str">
            <v xml:space="preserve">H-0054 </v>
          </cell>
          <cell r="B52" t="str">
            <v xml:space="preserve">University of Gloucestershire </v>
          </cell>
          <cell r="C52">
            <v>13526.181540742</v>
          </cell>
          <cell r="D52">
            <v>16231.4178488904</v>
          </cell>
        </row>
        <row r="53">
          <cell r="A53" t="str">
            <v xml:space="preserve">H-0131 </v>
          </cell>
          <cell r="B53" t="str">
            <v xml:space="preserve">Goldsmiths' College </v>
          </cell>
          <cell r="C53">
            <v>15704.011472736524</v>
          </cell>
          <cell r="D53">
            <v>18844.813767283827</v>
          </cell>
        </row>
        <row r="54">
          <cell r="A54" t="str">
            <v xml:space="preserve">H-0059 </v>
          </cell>
          <cell r="B54" t="str">
            <v xml:space="preserve">University of Greenwich </v>
          </cell>
          <cell r="C54">
            <v>38106.61689040636</v>
          </cell>
          <cell r="D54">
            <v>45727.940268487633</v>
          </cell>
        </row>
        <row r="55">
          <cell r="A55" t="str">
            <v xml:space="preserve">H-0208 </v>
          </cell>
          <cell r="B55" t="str">
            <v xml:space="preserve">Guildhall School of Music &amp; Drama </v>
          </cell>
          <cell r="C55">
            <v>3639.0499262667822</v>
          </cell>
          <cell r="D55">
            <v>4366.8599115201387</v>
          </cell>
        </row>
        <row r="56">
          <cell r="A56" t="str">
            <v xml:space="preserve">H-0018 </v>
          </cell>
          <cell r="B56" t="str">
            <v xml:space="preserve">Harper Adams University College </v>
          </cell>
          <cell r="C56">
            <v>6923.7535211618706</v>
          </cell>
          <cell r="D56">
            <v>8308.5042253942447</v>
          </cell>
        </row>
        <row r="57">
          <cell r="A57" t="str">
            <v xml:space="preserve">H-0060 </v>
          </cell>
          <cell r="B57" t="str">
            <v xml:space="preserve">University of Hertfordshire </v>
          </cell>
          <cell r="C57">
            <v>49189.836339495349</v>
          </cell>
          <cell r="D57">
            <v>59027.803607394417</v>
          </cell>
        </row>
        <row r="58">
          <cell r="A58" t="str">
            <v xml:space="preserve">H-0205 </v>
          </cell>
          <cell r="B58" t="str">
            <v xml:space="preserve">Heythrop College </v>
          </cell>
          <cell r="C58">
            <v>1411.2059889178902</v>
          </cell>
          <cell r="D58">
            <v>1693.4471867014681</v>
          </cell>
        </row>
        <row r="59">
          <cell r="A59" t="str">
            <v xml:space="preserve">H-0061 </v>
          </cell>
          <cell r="B59" t="str">
            <v xml:space="preserve">University of Huddersfield </v>
          </cell>
          <cell r="C59">
            <v>26846.513932033202</v>
          </cell>
          <cell r="D59">
            <v>32215.816718439841</v>
          </cell>
        </row>
        <row r="60">
          <cell r="A60" t="str">
            <v xml:space="preserve">H-0120 </v>
          </cell>
          <cell r="B60" t="str">
            <v xml:space="preserve">University of Hull </v>
          </cell>
          <cell r="C60">
            <v>34062.627314610188</v>
          </cell>
          <cell r="D60">
            <v>40875.152777532225</v>
          </cell>
        </row>
        <row r="61">
          <cell r="A61" t="str">
            <v xml:space="preserve">H-0132 </v>
          </cell>
          <cell r="B61" t="str">
            <v xml:space="preserve">Imperial College London </v>
          </cell>
          <cell r="C61">
            <v>136147.97089225092</v>
          </cell>
          <cell r="D61">
            <v>163377.56507070109</v>
          </cell>
        </row>
        <row r="62">
          <cell r="A62" t="str">
            <v xml:space="preserve">H-0121 </v>
          </cell>
          <cell r="B62" t="str">
            <v xml:space="preserve">Keele University </v>
          </cell>
          <cell r="C62">
            <v>22287.129065538902</v>
          </cell>
          <cell r="D62">
            <v>26744.554878646682</v>
          </cell>
        </row>
        <row r="63">
          <cell r="A63" t="str">
            <v xml:space="preserve">H-0122 </v>
          </cell>
          <cell r="B63" t="str">
            <v xml:space="preserve">University of Kent </v>
          </cell>
          <cell r="C63">
            <v>35200.783868890707</v>
          </cell>
          <cell r="D63">
            <v>42240.940642668844</v>
          </cell>
        </row>
        <row r="64">
          <cell r="A64" t="str">
            <v xml:space="preserve">H-0134 </v>
          </cell>
          <cell r="B64" t="str">
            <v xml:space="preserve">King's College London </v>
          </cell>
          <cell r="C64">
            <v>101207.8777848598</v>
          </cell>
          <cell r="D64">
            <v>121449.45334183176</v>
          </cell>
        </row>
        <row r="65">
          <cell r="A65" t="str">
            <v xml:space="preserve">H-0063 </v>
          </cell>
          <cell r="B65" t="str">
            <v xml:space="preserve">Kingston University </v>
          </cell>
          <cell r="C65">
            <v>40574.682536870452</v>
          </cell>
          <cell r="D65">
            <v>48689.619044244544</v>
          </cell>
        </row>
        <row r="66">
          <cell r="A66" t="str">
            <v xml:space="preserve">H-0123 </v>
          </cell>
          <cell r="B66" t="str">
            <v xml:space="preserve">Lancaster University </v>
          </cell>
          <cell r="C66">
            <v>34845.472016180131</v>
          </cell>
          <cell r="D66">
            <v>41814.566419416151</v>
          </cell>
        </row>
        <row r="67">
          <cell r="A67" t="str">
            <v xml:space="preserve">H-0124 </v>
          </cell>
          <cell r="B67" t="str">
            <v xml:space="preserve">University of Leeds </v>
          </cell>
          <cell r="C67">
            <v>104856.00361171213</v>
          </cell>
          <cell r="D67">
            <v>125827.20433405455</v>
          </cell>
        </row>
        <row r="68">
          <cell r="A68" t="str">
            <v xml:space="preserve">H-0064 </v>
          </cell>
          <cell r="B68" t="str">
            <v xml:space="preserve">Leeds Metropolitan University </v>
          </cell>
          <cell r="C68">
            <v>33236.720361325868</v>
          </cell>
          <cell r="D68">
            <v>39884.06443359104</v>
          </cell>
        </row>
        <row r="69">
          <cell r="A69" t="str">
            <v xml:space="preserve">H-0207 </v>
          </cell>
          <cell r="B69" t="str">
            <v xml:space="preserve">Leeds College of Music </v>
          </cell>
          <cell r="C69">
            <v>1923.125402796014</v>
          </cell>
          <cell r="D69">
            <v>2307.7504833552166</v>
          </cell>
        </row>
        <row r="70">
          <cell r="A70" t="str">
            <v xml:space="preserve">H-0040 </v>
          </cell>
          <cell r="B70" t="str">
            <v xml:space="preserve">Leeds Trinity University College </v>
          </cell>
          <cell r="C70">
            <v>4415.90839553562</v>
          </cell>
          <cell r="D70">
            <v>5299.0900746427442</v>
          </cell>
        </row>
        <row r="71">
          <cell r="A71" t="str">
            <v xml:space="preserve">H-0125 </v>
          </cell>
          <cell r="B71" t="str">
            <v xml:space="preserve">University of Leicester </v>
          </cell>
          <cell r="C71">
            <v>50339.579149842524</v>
          </cell>
          <cell r="D71">
            <v>60407.494979811025</v>
          </cell>
        </row>
        <row r="72">
          <cell r="A72" t="str">
            <v xml:space="preserve">H-0062 </v>
          </cell>
          <cell r="B72" t="str">
            <v xml:space="preserve">University of Lincoln </v>
          </cell>
          <cell r="C72">
            <v>17621.536851766989</v>
          </cell>
          <cell r="D72">
            <v>21145.844222120384</v>
          </cell>
        </row>
        <row r="73">
          <cell r="A73" t="str">
            <v xml:space="preserve">H-0126 </v>
          </cell>
          <cell r="B73" t="str">
            <v xml:space="preserve">University of Liverpool </v>
          </cell>
          <cell r="C73">
            <v>80468.865634093032</v>
          </cell>
          <cell r="D73">
            <v>96562.638760911635</v>
          </cell>
        </row>
        <row r="74">
          <cell r="A74" t="str">
            <v xml:space="preserve">H-0023 </v>
          </cell>
          <cell r="B74" t="str">
            <v xml:space="preserve">Liverpool Hope University </v>
          </cell>
          <cell r="C74">
            <v>10318.52654869013</v>
          </cell>
          <cell r="D74">
            <v>12382.231858428155</v>
          </cell>
        </row>
        <row r="75">
          <cell r="A75" t="str">
            <v xml:space="preserve">H-0065 </v>
          </cell>
          <cell r="B75" t="str">
            <v xml:space="preserve">Liverpool John Moores University </v>
          </cell>
          <cell r="C75">
            <v>34037.909968334672</v>
          </cell>
          <cell r="D75">
            <v>40845.491962001601</v>
          </cell>
        </row>
        <row r="76">
          <cell r="A76" t="str">
            <v xml:space="preserve">H-0209 </v>
          </cell>
          <cell r="B76" t="str">
            <v xml:space="preserve">Liverpool Institute for Performing Arts </v>
          </cell>
          <cell r="C76">
            <v>1726.7383624663073</v>
          </cell>
          <cell r="D76">
            <v>2072.0860349595687</v>
          </cell>
        </row>
        <row r="77">
          <cell r="A77" t="str">
            <v xml:space="preserve">H-0024 </v>
          </cell>
          <cell r="B77" t="str">
            <v xml:space="preserve">University of the Arts London </v>
          </cell>
          <cell r="C77">
            <v>40391.619691017397</v>
          </cell>
          <cell r="D77">
            <v>48469.94362922087</v>
          </cell>
        </row>
        <row r="78">
          <cell r="A78" t="str">
            <v xml:space="preserve">H-0151 </v>
          </cell>
          <cell r="B78" t="str">
            <v xml:space="preserve">University of London </v>
          </cell>
          <cell r="C78">
            <v>28150.160843799022</v>
          </cell>
          <cell r="D78">
            <v>33780.193012558826</v>
          </cell>
        </row>
        <row r="79">
          <cell r="A79" t="str">
            <v xml:space="preserve">H-0149 </v>
          </cell>
          <cell r="B79" t="str">
            <v xml:space="preserve">University College London </v>
          </cell>
          <cell r="C79">
            <v>154947.82998599616</v>
          </cell>
          <cell r="D79">
            <v>185937.39598319537</v>
          </cell>
        </row>
        <row r="80">
          <cell r="A80" t="str">
            <v xml:space="preserve">H-0147 </v>
          </cell>
          <cell r="B80" t="str">
            <v xml:space="preserve">UCL School of Pharmacy </v>
          </cell>
          <cell r="C80">
            <v>4656.9025217219269</v>
          </cell>
          <cell r="D80">
            <v>5588.2830260663122</v>
          </cell>
        </row>
        <row r="81">
          <cell r="A81" t="str">
            <v xml:space="preserve">H-0135 </v>
          </cell>
          <cell r="B81" t="str">
            <v xml:space="preserve">London Business School </v>
          </cell>
          <cell r="C81">
            <v>19227.778151140144</v>
          </cell>
          <cell r="D81">
            <v>23073.333781368172</v>
          </cell>
        </row>
        <row r="82">
          <cell r="A82" t="str">
            <v xml:space="preserve">H-0137 </v>
          </cell>
          <cell r="B82" t="str">
            <v xml:space="preserve">London School of Economics and Political Science </v>
          </cell>
          <cell r="C82">
            <v>45129.046692402531</v>
          </cell>
          <cell r="D82">
            <v>54154.856030883035</v>
          </cell>
        </row>
        <row r="83">
          <cell r="A83" t="str">
            <v xml:space="preserve">H-0138 </v>
          </cell>
          <cell r="B83" t="str">
            <v xml:space="preserve">London School of Hygiene &amp; Tropical Medicine </v>
          </cell>
          <cell r="C83">
            <v>20738.432837963443</v>
          </cell>
          <cell r="D83">
            <v>24886.119405556128</v>
          </cell>
        </row>
        <row r="84">
          <cell r="A84" t="str">
            <v xml:space="preserve">H-0202 </v>
          </cell>
          <cell r="B84" t="str">
            <v xml:space="preserve">London Metropolitan University </v>
          </cell>
          <cell r="C84">
            <v>30462.777554702232</v>
          </cell>
          <cell r="D84">
            <v>36555.333065642677</v>
          </cell>
        </row>
        <row r="85">
          <cell r="A85" t="str">
            <v xml:space="preserve">H-0076 </v>
          </cell>
          <cell r="B85" t="str">
            <v xml:space="preserve">London South Bank University </v>
          </cell>
          <cell r="C85">
            <v>27986.408424723719</v>
          </cell>
          <cell r="D85">
            <v>33583.69010966846</v>
          </cell>
        </row>
        <row r="86">
          <cell r="A86" t="str">
            <v xml:space="preserve">H-0152 </v>
          </cell>
          <cell r="B86" t="str">
            <v xml:space="preserve">Loughborough University </v>
          </cell>
          <cell r="C86">
            <v>46319.534503250754</v>
          </cell>
          <cell r="D86">
            <v>55583.441403900906</v>
          </cell>
        </row>
        <row r="87">
          <cell r="A87" t="str">
            <v xml:space="preserve">H-0204 </v>
          </cell>
          <cell r="B87" t="str">
            <v xml:space="preserve">University of Manchester </v>
          </cell>
          <cell r="C87">
            <v>156141.02125659323</v>
          </cell>
          <cell r="D87">
            <v>187369.22550791188</v>
          </cell>
        </row>
        <row r="88">
          <cell r="A88" t="str">
            <v xml:space="preserve">H-0066 </v>
          </cell>
          <cell r="B88" t="str">
            <v xml:space="preserve">Manchester Metropolitan University </v>
          </cell>
          <cell r="C88">
            <v>47895.265328315065</v>
          </cell>
          <cell r="D88">
            <v>57474.318393978072</v>
          </cell>
        </row>
        <row r="89">
          <cell r="A89" t="str">
            <v xml:space="preserve">H-0067 </v>
          </cell>
          <cell r="B89" t="str">
            <v xml:space="preserve">Middlesex University </v>
          </cell>
          <cell r="C89">
            <v>34629.002132001566</v>
          </cell>
          <cell r="D89">
            <v>41554.802558401876</v>
          </cell>
        </row>
        <row r="90">
          <cell r="A90" t="str">
            <v xml:space="preserve">H-0154 </v>
          </cell>
          <cell r="B90" t="str">
            <v xml:space="preserve">University of Newcastle upon Tyne </v>
          </cell>
          <cell r="C90">
            <v>74987.600993229004</v>
          </cell>
          <cell r="D90">
            <v>89985.121191874801</v>
          </cell>
        </row>
        <row r="91">
          <cell r="A91" t="str">
            <v xml:space="preserve">H-0028 </v>
          </cell>
          <cell r="B91" t="str">
            <v xml:space="preserve">Newman University College </v>
          </cell>
          <cell r="C91">
            <v>4123.1623255849472</v>
          </cell>
          <cell r="D91">
            <v>4947.7947907019361</v>
          </cell>
        </row>
        <row r="92">
          <cell r="A92" t="str">
            <v xml:space="preserve">H-0027 </v>
          </cell>
          <cell r="B92" t="str">
            <v xml:space="preserve">University of Northampton </v>
          </cell>
          <cell r="C92">
            <v>18543.223521868946</v>
          </cell>
          <cell r="D92">
            <v>22251.868226242732</v>
          </cell>
        </row>
        <row r="93">
          <cell r="A93" t="str">
            <v xml:space="preserve">H-0069 </v>
          </cell>
          <cell r="B93" t="str">
            <v xml:space="preserve">University of Northumbria at Newcastle </v>
          </cell>
          <cell r="C93">
            <v>41115.760695182973</v>
          </cell>
          <cell r="D93">
            <v>49338.912834219569</v>
          </cell>
        </row>
        <row r="94">
          <cell r="A94" t="str">
            <v xml:space="preserve">H-0190 </v>
          </cell>
          <cell r="B94" t="str">
            <v xml:space="preserve">Norwich University College of the Arts </v>
          </cell>
          <cell r="C94">
            <v>2392.9480862986447</v>
          </cell>
          <cell r="D94">
            <v>2871.5377035583738</v>
          </cell>
        </row>
        <row r="95">
          <cell r="A95" t="str">
            <v xml:space="preserve">H-0155 </v>
          </cell>
          <cell r="B95" t="str">
            <v xml:space="preserve">University of Nottingham </v>
          </cell>
          <cell r="C95">
            <v>98615.452989947022</v>
          </cell>
          <cell r="D95">
            <v>118338.54358793642</v>
          </cell>
        </row>
        <row r="96">
          <cell r="A96" t="str">
            <v xml:space="preserve">H-0071 </v>
          </cell>
          <cell r="B96" t="str">
            <v xml:space="preserve">Nottingham Trent University </v>
          </cell>
          <cell r="C96">
            <v>38613.515593322278</v>
          </cell>
          <cell r="D96">
            <v>46336.21871198673</v>
          </cell>
        </row>
        <row r="97">
          <cell r="A97" t="str">
            <v xml:space="preserve">H-0001 </v>
          </cell>
          <cell r="B97" t="str">
            <v xml:space="preserve">Open University </v>
          </cell>
          <cell r="C97">
            <v>41077.139841627482</v>
          </cell>
          <cell r="D97">
            <v>49292.567809952976</v>
          </cell>
        </row>
        <row r="98">
          <cell r="A98" t="str">
            <v xml:space="preserve">H-0146 </v>
          </cell>
          <cell r="B98" t="str">
            <v xml:space="preserve">School of Oriental and African Studies </v>
          </cell>
          <cell r="C98">
            <v>13050.565729206044</v>
          </cell>
          <cell r="D98">
            <v>15660.678875047253</v>
          </cell>
        </row>
        <row r="99">
          <cell r="A99" t="str">
            <v xml:space="preserve">H-0156 </v>
          </cell>
          <cell r="B99" t="str">
            <v xml:space="preserve">University of Oxford </v>
          </cell>
          <cell r="C99">
            <v>177564.97424516676</v>
          </cell>
          <cell r="D99">
            <v>213077.96909420009</v>
          </cell>
        </row>
        <row r="100">
          <cell r="A100" t="str">
            <v xml:space="preserve">H-0072 </v>
          </cell>
          <cell r="B100" t="str">
            <v xml:space="preserve">Oxford Brookes University </v>
          </cell>
          <cell r="C100">
            <v>32949.188106605186</v>
          </cell>
          <cell r="D100">
            <v>39539.025727926222</v>
          </cell>
        </row>
        <row r="101">
          <cell r="A101" t="str">
            <v xml:space="preserve">H-0073 </v>
          </cell>
          <cell r="B101" t="str">
            <v xml:space="preserve">University of Plymouth </v>
          </cell>
          <cell r="C101">
            <v>40369.026491687429</v>
          </cell>
          <cell r="D101">
            <v>48442.831790024909</v>
          </cell>
        </row>
        <row r="102">
          <cell r="A102" t="str">
            <v xml:space="preserve">H-0014 </v>
          </cell>
          <cell r="B102" t="str">
            <v xml:space="preserve">University College Plymouth St Mark &amp; St John </v>
          </cell>
          <cell r="C102">
            <v>4878.7793253982618</v>
          </cell>
          <cell r="D102">
            <v>5854.5351904779136</v>
          </cell>
        </row>
        <row r="103">
          <cell r="A103" t="str">
            <v xml:space="preserve">H-0074 </v>
          </cell>
          <cell r="B103" t="str">
            <v xml:space="preserve">University of Portsmouth </v>
          </cell>
          <cell r="C103">
            <v>34290.490350587628</v>
          </cell>
          <cell r="D103">
            <v>41148.588420705149</v>
          </cell>
        </row>
        <row r="104">
          <cell r="A104" t="str">
            <v xml:space="preserve">H-0139 </v>
          </cell>
          <cell r="B104" t="str">
            <v xml:space="preserve">Queen Mary, University of London </v>
          </cell>
          <cell r="C104">
            <v>57370.891748156457</v>
          </cell>
          <cell r="D104">
            <v>68845.070097787742</v>
          </cell>
        </row>
        <row r="105">
          <cell r="A105" t="str">
            <v xml:space="preserve">H-0030 </v>
          </cell>
          <cell r="B105" t="str">
            <v xml:space="preserve">Ravensbourne </v>
          </cell>
          <cell r="C105">
            <v>3047.7646583321102</v>
          </cell>
          <cell r="D105">
            <v>3657.3175899985322</v>
          </cell>
        </row>
        <row r="106">
          <cell r="A106" t="str">
            <v xml:space="preserve">H-0157 </v>
          </cell>
          <cell r="B106" t="str">
            <v xml:space="preserve">University of Reading </v>
          </cell>
          <cell r="C106">
            <v>42713.505406773926</v>
          </cell>
          <cell r="D106">
            <v>51256.206488128708</v>
          </cell>
        </row>
        <row r="107">
          <cell r="A107" t="str">
            <v xml:space="preserve">H-0031 </v>
          </cell>
          <cell r="B107" t="str">
            <v xml:space="preserve">Roehampton University </v>
          </cell>
          <cell r="C107">
            <v>14335.674631265236</v>
          </cell>
          <cell r="D107">
            <v>17202.809557518282</v>
          </cell>
        </row>
        <row r="108">
          <cell r="A108" t="str">
            <v xml:space="preserve">H-0032 </v>
          </cell>
          <cell r="B108" t="str">
            <v xml:space="preserve">Rose Bruford College </v>
          </cell>
          <cell r="C108">
            <v>1462.1855156111474</v>
          </cell>
          <cell r="D108">
            <v>1754.6226187333768</v>
          </cell>
        </row>
        <row r="109">
          <cell r="A109" t="str">
            <v xml:space="preserve">H-0033 </v>
          </cell>
          <cell r="B109" t="str">
            <v xml:space="preserve">Royal Academy of Music </v>
          </cell>
          <cell r="C109">
            <v>3875.0233414908735</v>
          </cell>
          <cell r="D109">
            <v>4650.0280097890482</v>
          </cell>
        </row>
        <row r="110">
          <cell r="A110" t="str">
            <v xml:space="preserve">H-0195 </v>
          </cell>
          <cell r="B110" t="str">
            <v xml:space="preserve">Royal Agricultural College </v>
          </cell>
          <cell r="C110">
            <v>3374.4970794116216</v>
          </cell>
          <cell r="D110">
            <v>4049.3964952939459</v>
          </cell>
        </row>
        <row r="111">
          <cell r="A111" t="str">
            <v xml:space="preserve">H-0003 </v>
          </cell>
          <cell r="B111" t="str">
            <v xml:space="preserve">Royal College of Art </v>
          </cell>
          <cell r="C111">
            <v>5916.5216604344878</v>
          </cell>
          <cell r="D111">
            <v>7099.8259925213852</v>
          </cell>
        </row>
        <row r="112">
          <cell r="A112" t="str">
            <v xml:space="preserve">H-0034 </v>
          </cell>
          <cell r="B112" t="str">
            <v xml:space="preserve">Royal College of Music </v>
          </cell>
          <cell r="C112">
            <v>3895.6854981430647</v>
          </cell>
          <cell r="D112">
            <v>4674.8225977716775</v>
          </cell>
        </row>
        <row r="113">
          <cell r="A113" t="str">
            <v xml:space="preserve">H-0141 </v>
          </cell>
          <cell r="B113" t="str">
            <v xml:space="preserve">Royal Holloway, University of London </v>
          </cell>
          <cell r="C113">
            <v>25529.156617255172</v>
          </cell>
          <cell r="D113">
            <v>30634.987940706204</v>
          </cell>
        </row>
        <row r="114">
          <cell r="A114" t="str">
            <v xml:space="preserve">H-0035 </v>
          </cell>
          <cell r="B114" t="str">
            <v xml:space="preserve">Royal Northern College of Music </v>
          </cell>
          <cell r="C114">
            <v>3105.1166258620246</v>
          </cell>
          <cell r="D114">
            <v>3726.1399510344295</v>
          </cell>
        </row>
        <row r="115">
          <cell r="A115" t="str">
            <v xml:space="preserve">H-0143 </v>
          </cell>
          <cell r="B115" t="str">
            <v xml:space="preserve">Royal Veterinary College </v>
          </cell>
          <cell r="C115">
            <v>13246.566561000198</v>
          </cell>
          <cell r="D115">
            <v>15895.879873200236</v>
          </cell>
        </row>
        <row r="116">
          <cell r="A116" t="str">
            <v xml:space="preserve">H-0145 </v>
          </cell>
          <cell r="B116" t="str">
            <v xml:space="preserve">St George's Hospital Medical School </v>
          </cell>
          <cell r="C116">
            <v>16487.628591377576</v>
          </cell>
          <cell r="D116">
            <v>19785.154309653088</v>
          </cell>
        </row>
        <row r="117">
          <cell r="A117" t="str">
            <v xml:space="preserve">H-0039 </v>
          </cell>
          <cell r="B117" t="str">
            <v xml:space="preserve">St Mary's University College </v>
          </cell>
          <cell r="C117">
            <v>6720.9940399955076</v>
          </cell>
          <cell r="D117">
            <v>8065.1928479946091</v>
          </cell>
        </row>
        <row r="118">
          <cell r="A118" t="str">
            <v xml:space="preserve">H-0158 </v>
          </cell>
          <cell r="B118" t="str">
            <v xml:space="preserve">University of Salford </v>
          </cell>
          <cell r="C118">
            <v>36186.96736443034</v>
          </cell>
          <cell r="D118">
            <v>43424.36083731641</v>
          </cell>
        </row>
        <row r="119">
          <cell r="A119" t="str">
            <v xml:space="preserve">H-0159 </v>
          </cell>
          <cell r="B119" t="str">
            <v xml:space="preserve">University of Sheffield </v>
          </cell>
          <cell r="C119">
            <v>83848.962737270209</v>
          </cell>
          <cell r="D119">
            <v>100618.75528472425</v>
          </cell>
        </row>
        <row r="120">
          <cell r="A120" t="str">
            <v xml:space="preserve">H-0075 </v>
          </cell>
          <cell r="B120" t="str">
            <v xml:space="preserve">Sheffield Hallam University </v>
          </cell>
          <cell r="C120">
            <v>46573.466615378151</v>
          </cell>
          <cell r="D120">
            <v>55888.159938453777</v>
          </cell>
        </row>
        <row r="121">
          <cell r="A121" t="str">
            <v xml:space="preserve">H-0160 </v>
          </cell>
          <cell r="B121" t="str">
            <v xml:space="preserve">University of Southampton </v>
          </cell>
          <cell r="C121">
            <v>84374.97876269609</v>
          </cell>
          <cell r="D121">
            <v>101249.9745152353</v>
          </cell>
        </row>
        <row r="122">
          <cell r="A122" t="str">
            <v xml:space="preserve">H-0037 </v>
          </cell>
          <cell r="B122" t="str">
            <v xml:space="preserve">Southampton Solent University </v>
          </cell>
          <cell r="C122">
            <v>19572.276164855186</v>
          </cell>
          <cell r="D122">
            <v>23486.731397826221</v>
          </cell>
        </row>
        <row r="123">
          <cell r="A123" t="str">
            <v xml:space="preserve">H-0077 </v>
          </cell>
          <cell r="B123" t="str">
            <v xml:space="preserve">Staffordshire University </v>
          </cell>
          <cell r="C123">
            <v>23816.90107487217</v>
          </cell>
          <cell r="D123">
            <v>28580.281289846604</v>
          </cell>
        </row>
        <row r="124">
          <cell r="A124" t="str">
            <v xml:space="preserve">H-0078 </v>
          </cell>
          <cell r="B124" t="str">
            <v xml:space="preserve">University of Sunderland </v>
          </cell>
          <cell r="C124">
            <v>25272.327941111107</v>
          </cell>
          <cell r="D124">
            <v>30326.793529333328</v>
          </cell>
        </row>
        <row r="125">
          <cell r="A125" t="str">
            <v xml:space="preserve">H-0161 </v>
          </cell>
          <cell r="B125" t="str">
            <v xml:space="preserve">University of Surrey </v>
          </cell>
          <cell r="C125">
            <v>40859.125123306694</v>
          </cell>
          <cell r="D125">
            <v>49030.950147968033</v>
          </cell>
        </row>
        <row r="126">
          <cell r="A126" t="str">
            <v xml:space="preserve">H-0162 </v>
          </cell>
          <cell r="B126" t="str">
            <v xml:space="preserve">University of Sussex </v>
          </cell>
          <cell r="C126">
            <v>34201.855491677758</v>
          </cell>
          <cell r="D126">
            <v>41042.226590013306</v>
          </cell>
        </row>
        <row r="127">
          <cell r="A127" t="str">
            <v xml:space="preserve">H-0079 </v>
          </cell>
          <cell r="B127" t="str">
            <v xml:space="preserve">Teesside University </v>
          </cell>
          <cell r="C127">
            <v>28324.34089333432</v>
          </cell>
          <cell r="D127">
            <v>33989.209072001184</v>
          </cell>
        </row>
        <row r="128">
          <cell r="A128" t="str">
            <v xml:space="preserve">H-0041 </v>
          </cell>
          <cell r="B128" t="str">
            <v xml:space="preserve">Trinity Laban Conservatoire of Music and Dance </v>
          </cell>
          <cell r="C128">
            <v>3994.5548832451391</v>
          </cell>
          <cell r="D128">
            <v>4793.4658598941669</v>
          </cell>
        </row>
        <row r="129">
          <cell r="A129" t="str">
            <v xml:space="preserve">H-0163 </v>
          </cell>
          <cell r="B129" t="str">
            <v xml:space="preserve">University of Warwick </v>
          </cell>
          <cell r="C129">
            <v>80925.750331654577</v>
          </cell>
          <cell r="D129">
            <v>97110.90039798549</v>
          </cell>
        </row>
        <row r="130">
          <cell r="A130" t="str">
            <v xml:space="preserve">H-0081 </v>
          </cell>
          <cell r="B130" t="str">
            <v xml:space="preserve">University of the West of England, Bristol </v>
          </cell>
          <cell r="C130">
            <v>43143.741715382173</v>
          </cell>
          <cell r="D130">
            <v>51772.490058458607</v>
          </cell>
        </row>
        <row r="131">
          <cell r="A131" t="str">
            <v xml:space="preserve">H-0080 </v>
          </cell>
          <cell r="B131" t="str">
            <v xml:space="preserve">The University of West London </v>
          </cell>
          <cell r="C131">
            <v>15925.695172145082</v>
          </cell>
          <cell r="D131">
            <v>19110.834206574098</v>
          </cell>
        </row>
        <row r="132">
          <cell r="A132" t="str">
            <v xml:space="preserve">H-0083 </v>
          </cell>
          <cell r="B132" t="str">
            <v xml:space="preserve">University of Westminster </v>
          </cell>
          <cell r="C132">
            <v>31791.528021279144</v>
          </cell>
          <cell r="D132">
            <v>38149.833625534971</v>
          </cell>
        </row>
        <row r="133">
          <cell r="A133" t="str">
            <v xml:space="preserve">H-0021 </v>
          </cell>
          <cell r="B133" t="str">
            <v xml:space="preserve">University of Winchester </v>
          </cell>
          <cell r="C133">
            <v>9660.6203083722248</v>
          </cell>
          <cell r="D133">
            <v>11592.744370046668</v>
          </cell>
        </row>
        <row r="134">
          <cell r="A134" t="str">
            <v xml:space="preserve">H-0085 </v>
          </cell>
          <cell r="B134" t="str">
            <v xml:space="preserve">University of Wolverhampton </v>
          </cell>
          <cell r="C134">
            <v>31617.7341802794</v>
          </cell>
          <cell r="D134">
            <v>37941.281016335277</v>
          </cell>
        </row>
        <row r="135">
          <cell r="A135" t="str">
            <v xml:space="preserve">H-0046 </v>
          </cell>
          <cell r="B135" t="str">
            <v xml:space="preserve">University of Worcester </v>
          </cell>
          <cell r="C135">
            <v>12939.144566698435</v>
          </cell>
          <cell r="D135">
            <v>15526.973480038121</v>
          </cell>
        </row>
        <row r="136">
          <cell r="A136" t="str">
            <v xml:space="preserve">H-0189 </v>
          </cell>
          <cell r="B136" t="str">
            <v xml:space="preserve">Writtle College </v>
          </cell>
          <cell r="C136">
            <v>3334.9107045172364</v>
          </cell>
          <cell r="D136">
            <v>4001.8928454206834</v>
          </cell>
        </row>
        <row r="137">
          <cell r="A137" t="str">
            <v xml:space="preserve">H-0164 </v>
          </cell>
          <cell r="B137" t="str">
            <v xml:space="preserve">University of York </v>
          </cell>
          <cell r="C137">
            <v>50384.958652770234</v>
          </cell>
          <cell r="D137">
            <v>60461.950383324278</v>
          </cell>
        </row>
        <row r="138">
          <cell r="A138" t="str">
            <v xml:space="preserve">H-0013 </v>
          </cell>
          <cell r="B138" t="str">
            <v xml:space="preserve">York St John University </v>
          </cell>
          <cell r="C138">
            <v>8497.1670950128537</v>
          </cell>
          <cell r="D138">
            <v>10196.600514015423</v>
          </cell>
        </row>
        <row r="140">
          <cell r="A140" t="str">
            <v>Scotland</v>
          </cell>
        </row>
        <row r="142">
          <cell r="A142" t="str">
            <v xml:space="preserve">H-0170 </v>
          </cell>
          <cell r="B142" t="str">
            <v xml:space="preserve">University of Aberdeen </v>
          </cell>
          <cell r="C142">
            <v>42681.0638897873</v>
          </cell>
          <cell r="D142">
            <v>51217.276667744758</v>
          </cell>
        </row>
        <row r="143">
          <cell r="A143" t="str">
            <v xml:space="preserve">H-0095 </v>
          </cell>
          <cell r="B143" t="str">
            <v xml:space="preserve">University of Abertay Dundee </v>
          </cell>
          <cell r="C143">
            <v>7155.2855382270809</v>
          </cell>
          <cell r="D143">
            <v>8586.3426458724971</v>
          </cell>
        </row>
        <row r="144">
          <cell r="A144" t="str">
            <v xml:space="preserve">H-0172 </v>
          </cell>
          <cell r="B144" t="str">
            <v xml:space="preserve">University of Dundee </v>
          </cell>
          <cell r="C144">
            <v>44261.622321546056</v>
          </cell>
          <cell r="D144">
            <v>53113.946785855267</v>
          </cell>
        </row>
        <row r="145">
          <cell r="A145" t="str">
            <v xml:space="preserve">H-0167 </v>
          </cell>
          <cell r="B145" t="str">
            <v xml:space="preserve">University of Edinburgh </v>
          </cell>
          <cell r="C145">
            <v>125677.85749335543</v>
          </cell>
          <cell r="D145">
            <v>150813.42899202651</v>
          </cell>
        </row>
        <row r="146">
          <cell r="A146" t="str">
            <v xml:space="preserve">H-0096 </v>
          </cell>
          <cell r="B146" t="str">
            <v xml:space="preserve">Edinburgh College of Art </v>
          </cell>
          <cell r="C146">
            <v>5051.0283322557825</v>
          </cell>
          <cell r="D146">
            <v>6061.233998706939</v>
          </cell>
        </row>
        <row r="147">
          <cell r="A147" t="str">
            <v xml:space="preserve">H-0107 </v>
          </cell>
          <cell r="B147" t="str">
            <v xml:space="preserve">Edinburgh Napier University </v>
          </cell>
          <cell r="C147">
            <v>20502.45942273935</v>
          </cell>
          <cell r="D147">
            <v>24602.951307287218</v>
          </cell>
        </row>
        <row r="148">
          <cell r="A148" t="str">
            <v xml:space="preserve">H-0168 </v>
          </cell>
          <cell r="B148" t="str">
            <v xml:space="preserve">University of Glasgow </v>
          </cell>
          <cell r="C148">
            <v>86934.575832086688</v>
          </cell>
          <cell r="D148">
            <v>104321.49099850403</v>
          </cell>
        </row>
        <row r="149">
          <cell r="A149" t="str">
            <v xml:space="preserve">H-0106 </v>
          </cell>
          <cell r="B149" t="str">
            <v xml:space="preserve">Glasgow Caledonian University </v>
          </cell>
          <cell r="C149">
            <v>21919.651643958343</v>
          </cell>
          <cell r="D149">
            <v>26303.581972750009</v>
          </cell>
        </row>
        <row r="150">
          <cell r="A150" t="str">
            <v xml:space="preserve">H-0097 </v>
          </cell>
          <cell r="B150" t="str">
            <v xml:space="preserve">Glasgow School of Art </v>
          </cell>
          <cell r="C150">
            <v>4353.3426127757139</v>
          </cell>
          <cell r="D150">
            <v>5224.0111353308566</v>
          </cell>
        </row>
        <row r="151">
          <cell r="A151" t="str">
            <v xml:space="preserve">H-0171 </v>
          </cell>
          <cell r="B151" t="str">
            <v xml:space="preserve">Heriot-Watt University </v>
          </cell>
          <cell r="C151">
            <v>29034.964598755483</v>
          </cell>
          <cell r="D151">
            <v>34841.957518506577</v>
          </cell>
        </row>
        <row r="152">
          <cell r="A152" t="str">
            <v xml:space="preserve">H-0100 </v>
          </cell>
          <cell r="B152" t="str">
            <v xml:space="preserve">Queen Margaret University Edinburgh </v>
          </cell>
          <cell r="C152">
            <v>6573.4623794135059</v>
          </cell>
          <cell r="D152">
            <v>7888.1548552962067</v>
          </cell>
        </row>
        <row r="153">
          <cell r="A153" t="str">
            <v xml:space="preserve">H-0104 </v>
          </cell>
          <cell r="B153" t="str">
            <v xml:space="preserve">Robert Gordon University </v>
          </cell>
          <cell r="C153">
            <v>17961.979675858704</v>
          </cell>
          <cell r="D153">
            <v>21554.375611030442</v>
          </cell>
        </row>
        <row r="154">
          <cell r="A154" t="str">
            <v xml:space="preserve">H-0101 </v>
          </cell>
          <cell r="B154" t="str">
            <v>Royal Conservatoire of Scotland</v>
          </cell>
          <cell r="C154">
            <v>3021.6955821821493</v>
          </cell>
          <cell r="D154">
            <v>3626.0346986185791</v>
          </cell>
        </row>
        <row r="155">
          <cell r="A155" t="str">
            <v>H-0175</v>
          </cell>
          <cell r="B155" t="str">
            <v>Scottish Agricultural College</v>
          </cell>
          <cell r="C155">
            <v>10621.120936297455</v>
          </cell>
          <cell r="D155">
            <v>12745.345123556945</v>
          </cell>
        </row>
        <row r="156">
          <cell r="A156" t="str">
            <v xml:space="preserve">H-0173 </v>
          </cell>
          <cell r="B156" t="str">
            <v xml:space="preserve">University of St Andrews </v>
          </cell>
          <cell r="C156">
            <v>31998.535796336608</v>
          </cell>
          <cell r="D156">
            <v>38398.242955603928</v>
          </cell>
        </row>
        <row r="157">
          <cell r="A157" t="str">
            <v xml:space="preserve">H-0174 </v>
          </cell>
          <cell r="B157" t="str">
            <v xml:space="preserve">University of Stirling </v>
          </cell>
          <cell r="C157">
            <v>19732.166498574948</v>
          </cell>
          <cell r="D157">
            <v>23678.599798289935</v>
          </cell>
        </row>
        <row r="158">
          <cell r="A158" t="str">
            <v xml:space="preserve">H-0169 </v>
          </cell>
          <cell r="B158" t="str">
            <v xml:space="preserve">University of Strathclyde </v>
          </cell>
          <cell r="C158">
            <v>44417.071257106931</v>
          </cell>
          <cell r="D158">
            <v>53300.485508528312</v>
          </cell>
        </row>
        <row r="159">
          <cell r="A159" t="str">
            <v xml:space="preserve">H-0196 </v>
          </cell>
          <cell r="B159" t="str">
            <v>University of the Highlands and Islands</v>
          </cell>
          <cell r="C159">
            <v>12009.154413082046</v>
          </cell>
          <cell r="D159">
            <v>14410.985295698454</v>
          </cell>
        </row>
        <row r="160">
          <cell r="A160" t="str">
            <v xml:space="preserve">H-0105 </v>
          </cell>
          <cell r="B160" t="str">
            <v xml:space="preserve">University of the West of Scotland </v>
          </cell>
          <cell r="C160">
            <v>18521.982052413419</v>
          </cell>
          <cell r="D160">
            <v>22226.378462896104</v>
          </cell>
        </row>
        <row r="162">
          <cell r="A162" t="str">
            <v>Wales</v>
          </cell>
        </row>
        <row r="164">
          <cell r="A164" t="str">
            <v xml:space="preserve">H-0177 </v>
          </cell>
          <cell r="B164" t="str">
            <v xml:space="preserve">Aberystwyth University </v>
          </cell>
          <cell r="C164">
            <v>22893.090257824664</v>
          </cell>
          <cell r="D164">
            <v>27471.708309389596</v>
          </cell>
        </row>
        <row r="165">
          <cell r="A165" t="str">
            <v xml:space="preserve">H-0178 </v>
          </cell>
          <cell r="B165" t="str">
            <v xml:space="preserve">Bangor University </v>
          </cell>
          <cell r="C165">
            <v>25498.646142946323</v>
          </cell>
          <cell r="D165">
            <v>30598.375371535589</v>
          </cell>
        </row>
        <row r="166">
          <cell r="A166" t="str">
            <v xml:space="preserve">H-0179 </v>
          </cell>
          <cell r="B166" t="str">
            <v xml:space="preserve">Cardiff University </v>
          </cell>
          <cell r="C166">
            <v>79453.330289851205</v>
          </cell>
          <cell r="D166">
            <v>95343.996347821449</v>
          </cell>
        </row>
        <row r="167">
          <cell r="A167" t="str">
            <v xml:space="preserve">H-0089 </v>
          </cell>
          <cell r="B167" t="str">
            <v xml:space="preserve">University of Wales Institute, Cardiff </v>
          </cell>
          <cell r="C167">
            <v>16057.585387037107</v>
          </cell>
          <cell r="D167">
            <v>19269.102464444528</v>
          </cell>
        </row>
        <row r="168">
          <cell r="A168" t="str">
            <v xml:space="preserve">H-0090 </v>
          </cell>
          <cell r="B168" t="str">
            <v xml:space="preserve">University of Glamorgan </v>
          </cell>
          <cell r="C168">
            <v>27843.897475103928</v>
          </cell>
          <cell r="D168">
            <v>33412.67697012471</v>
          </cell>
        </row>
        <row r="169">
          <cell r="A169" t="str">
            <v xml:space="preserve">H-0087 </v>
          </cell>
          <cell r="B169" t="str">
            <v xml:space="preserve">Glyndwr University </v>
          </cell>
          <cell r="C169">
            <v>8567.2639442160817</v>
          </cell>
          <cell r="D169">
            <v>10280.716733059297</v>
          </cell>
        </row>
        <row r="170">
          <cell r="A170" t="str">
            <v xml:space="preserve">H-0086 </v>
          </cell>
          <cell r="B170" t="str">
            <v xml:space="preserve">University of Wales, Newport </v>
          </cell>
          <cell r="C170">
            <v>9595.930378666766</v>
          </cell>
          <cell r="D170">
            <v>11515.116454400119</v>
          </cell>
        </row>
        <row r="171">
          <cell r="A171" t="str">
            <v xml:space="preserve">H-0180 </v>
          </cell>
          <cell r="B171" t="str">
            <v xml:space="preserve">Swansea University </v>
          </cell>
          <cell r="C171">
            <v>33412.638349271161</v>
          </cell>
          <cell r="D171">
            <v>40095.16601912539</v>
          </cell>
        </row>
        <row r="172">
          <cell r="A172" t="str">
            <v xml:space="preserve">H-0091 </v>
          </cell>
          <cell r="B172" t="str">
            <v xml:space="preserve">Swansea Metropolitan University </v>
          </cell>
          <cell r="C172">
            <v>7065.8782622461031</v>
          </cell>
          <cell r="D172">
            <v>8479.0539146953233</v>
          </cell>
        </row>
        <row r="173">
          <cell r="A173" t="str">
            <v xml:space="preserve">H-0176 </v>
          </cell>
          <cell r="B173" t="str">
            <v xml:space="preserve">University of Wales, Trinity Saint David </v>
          </cell>
          <cell r="C173">
            <v>6652.8282334700534</v>
          </cell>
          <cell r="D173">
            <v>7983.3938801640643</v>
          </cell>
        </row>
        <row r="174">
          <cell r="A174" t="str">
            <v xml:space="preserve">H-0186 </v>
          </cell>
          <cell r="B174" t="str">
            <v xml:space="preserve">University of Wales </v>
          </cell>
          <cell r="C174">
            <v>3177.1445177430278</v>
          </cell>
          <cell r="D174">
            <v>3812.5734212916332</v>
          </cell>
        </row>
        <row r="176">
          <cell r="A176" t="str">
            <v>Northern Ireland</v>
          </cell>
        </row>
        <row r="178">
          <cell r="A178" t="str">
            <v xml:space="preserve">H-0184 </v>
          </cell>
          <cell r="B178" t="str">
            <v xml:space="preserve">Queen's University Belfast </v>
          </cell>
          <cell r="C178">
            <v>54777.115223369219</v>
          </cell>
          <cell r="D178">
            <v>65732.538268043063</v>
          </cell>
        </row>
        <row r="179">
          <cell r="A179" t="str">
            <v xml:space="preserve">H-0194 </v>
          </cell>
          <cell r="B179" t="str">
            <v xml:space="preserve">St Mary's University College </v>
          </cell>
          <cell r="C179">
            <v>1800.1179842217532</v>
          </cell>
          <cell r="D179">
            <v>2160.1415810661038</v>
          </cell>
        </row>
        <row r="180">
          <cell r="A180" t="str">
            <v xml:space="preserve">H-0193 </v>
          </cell>
          <cell r="B180" t="str">
            <v xml:space="preserve">Stranmillis University College </v>
          </cell>
          <cell r="C180">
            <v>2298.3269950876752</v>
          </cell>
          <cell r="D180">
            <v>2757.9923941052102</v>
          </cell>
        </row>
        <row r="181">
          <cell r="A181" t="str">
            <v xml:space="preserve">H-0185 </v>
          </cell>
          <cell r="B181" t="str">
            <v xml:space="preserve">University of Ulster </v>
          </cell>
          <cell r="C181">
            <v>39189.352519834749</v>
          </cell>
          <cell r="D181">
            <v>47027.223023801693</v>
          </cell>
        </row>
        <row r="183">
          <cell r="A183">
            <v>163</v>
          </cell>
          <cell r="B183" t="str">
            <v xml:space="preserve"> institutions subject to charge</v>
          </cell>
          <cell r="C183" t="str">
            <v>sub-total:</v>
          </cell>
          <cell r="D183">
            <v>6323236.7878435301</v>
          </cell>
        </row>
        <row r="185">
          <cell r="C185" t="str">
            <v>charge reduction given by JISC to Open University</v>
          </cell>
          <cell r="D185">
            <v>59742.212156464018</v>
          </cell>
        </row>
        <row r="187">
          <cell r="C187" t="str">
            <v>UK total revenue:</v>
          </cell>
          <cell r="D187">
            <v>6382978.9999999944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199"/>
  <sheetViews>
    <sheetView showGridLines="0" workbookViewId="0">
      <pane ySplit="9" topLeftCell="A93" activePane="bottomLeft" state="frozen"/>
      <selection pane="bottomLeft" activeCell="J99" sqref="J99"/>
    </sheetView>
  </sheetViews>
  <sheetFormatPr defaultRowHeight="12.75"/>
  <cols>
    <col min="1" max="1" width="12.7109375" customWidth="1"/>
    <col min="2" max="2" width="40.42578125" customWidth="1"/>
    <col min="3" max="3" width="7.42578125" customWidth="1"/>
    <col min="4" max="7" width="11.7109375" customWidth="1"/>
    <col min="8" max="8" width="12.28515625" customWidth="1"/>
    <col min="9" max="9" width="13.28515625" customWidth="1"/>
    <col min="10" max="10" width="11.7109375" customWidth="1"/>
    <col min="17" max="17" width="10.140625" bestFit="1" customWidth="1"/>
  </cols>
  <sheetData>
    <row r="1" spans="1:10" ht="15.7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4"/>
      <c r="C2" s="4"/>
      <c r="D2" s="5"/>
      <c r="E2" s="5"/>
      <c r="F2" s="5"/>
      <c r="G2" s="5"/>
      <c r="H2" s="5"/>
      <c r="I2" s="5"/>
      <c r="J2" s="5"/>
    </row>
    <row r="3" spans="1:10">
      <c r="A3" s="3"/>
      <c r="B3" s="4"/>
      <c r="C3" s="4"/>
      <c r="D3" s="5"/>
      <c r="E3" s="5"/>
      <c r="F3" s="5"/>
      <c r="G3" s="5"/>
      <c r="H3" s="5"/>
      <c r="I3" s="5"/>
      <c r="J3" s="5"/>
    </row>
    <row r="4" spans="1:10">
      <c r="A4" s="6" t="s">
        <v>2</v>
      </c>
      <c r="B4" s="4"/>
      <c r="C4" s="4"/>
      <c r="D4" s="5"/>
      <c r="E4" s="5"/>
      <c r="F4" s="5"/>
      <c r="G4" s="5"/>
      <c r="H4" s="5"/>
      <c r="I4" s="5"/>
      <c r="J4" s="5"/>
    </row>
    <row r="5" spans="1:10">
      <c r="A5" s="4" t="s">
        <v>3</v>
      </c>
      <c r="B5" s="4"/>
      <c r="C5" s="4"/>
      <c r="D5" s="5"/>
      <c r="E5" s="5"/>
      <c r="F5" s="5"/>
      <c r="G5" s="5"/>
      <c r="H5" s="5"/>
      <c r="I5" s="5"/>
      <c r="J5" s="5"/>
    </row>
    <row r="6" spans="1:10">
      <c r="A6" s="4"/>
      <c r="B6" s="4"/>
      <c r="C6" s="4"/>
      <c r="D6" s="5"/>
      <c r="E6" s="5"/>
      <c r="F6" s="5"/>
      <c r="G6" s="5"/>
      <c r="H6" s="5"/>
      <c r="I6" s="5"/>
      <c r="J6" s="5"/>
    </row>
    <row r="7" spans="1:10">
      <c r="A7" s="87" t="s">
        <v>4</v>
      </c>
      <c r="B7" s="87" t="s">
        <v>5</v>
      </c>
      <c r="C7" s="7"/>
      <c r="D7" s="84" t="s">
        <v>6</v>
      </c>
      <c r="E7" s="84" t="s">
        <v>7</v>
      </c>
      <c r="F7" s="84" t="s">
        <v>8</v>
      </c>
      <c r="G7" s="84" t="s">
        <v>9</v>
      </c>
      <c r="H7" s="84" t="s">
        <v>10</v>
      </c>
      <c r="I7" s="84" t="s">
        <v>11</v>
      </c>
      <c r="J7" s="84" t="s">
        <v>12</v>
      </c>
    </row>
    <row r="8" spans="1:10">
      <c r="A8" s="88"/>
      <c r="B8" s="88"/>
      <c r="C8" s="8"/>
      <c r="D8" s="85"/>
      <c r="E8" s="85"/>
      <c r="F8" s="85"/>
      <c r="G8" s="85"/>
      <c r="H8" s="85"/>
      <c r="I8" s="85"/>
      <c r="J8" s="85"/>
    </row>
    <row r="9" spans="1:10" ht="27" customHeight="1">
      <c r="A9" s="89"/>
      <c r="B9" s="89"/>
      <c r="C9" s="9" t="s">
        <v>13</v>
      </c>
      <c r="D9" s="86"/>
      <c r="E9" s="86"/>
      <c r="F9" s="86"/>
      <c r="G9" s="86"/>
      <c r="H9" s="86"/>
      <c r="I9" s="86"/>
      <c r="J9" s="86"/>
    </row>
    <row r="10" spans="1:10" ht="15.75" customHeight="1">
      <c r="A10" s="3" t="s">
        <v>14</v>
      </c>
      <c r="B10" s="3"/>
      <c r="C10" s="3"/>
      <c r="D10" s="10"/>
      <c r="E10" s="10"/>
      <c r="F10" s="10"/>
      <c r="G10" s="10"/>
      <c r="H10" s="10"/>
      <c r="I10" s="10"/>
      <c r="J10" s="10"/>
    </row>
    <row r="11" spans="1:10" ht="12.75" customHeight="1">
      <c r="A11" s="11" t="s">
        <v>15</v>
      </c>
      <c r="B11" s="11" t="s">
        <v>16</v>
      </c>
      <c r="C11" s="11" t="s">
        <v>17</v>
      </c>
      <c r="D11" s="12">
        <v>48003</v>
      </c>
      <c r="E11" s="12">
        <v>86706</v>
      </c>
      <c r="F11" s="12">
        <v>2448</v>
      </c>
      <c r="G11" s="12">
        <v>15804</v>
      </c>
      <c r="H11" s="12">
        <v>7374</v>
      </c>
      <c r="I11" s="12">
        <v>424</v>
      </c>
      <c r="J11" s="12">
        <v>160759</v>
      </c>
    </row>
    <row r="12" spans="1:10" ht="12.75" customHeight="1">
      <c r="A12" s="11" t="s">
        <v>18</v>
      </c>
      <c r="B12" s="11" t="s">
        <v>19</v>
      </c>
      <c r="C12" s="11" t="s">
        <v>20</v>
      </c>
      <c r="D12" s="12">
        <v>33405</v>
      </c>
      <c r="E12" s="12">
        <v>51263</v>
      </c>
      <c r="F12" s="12">
        <v>11074</v>
      </c>
      <c r="G12" s="12">
        <v>8429</v>
      </c>
      <c r="H12" s="12">
        <v>6715</v>
      </c>
      <c r="I12" s="12">
        <v>394</v>
      </c>
      <c r="J12" s="12">
        <v>111280</v>
      </c>
    </row>
    <row r="13" spans="1:10" ht="12.75" customHeight="1">
      <c r="A13" s="11" t="s">
        <v>21</v>
      </c>
      <c r="B13" s="11" t="s">
        <v>22</v>
      </c>
      <c r="C13" s="11" t="s">
        <v>23</v>
      </c>
      <c r="D13" s="12">
        <v>58535</v>
      </c>
      <c r="E13" s="12">
        <v>70737</v>
      </c>
      <c r="F13" s="12">
        <v>27358</v>
      </c>
      <c r="G13" s="12">
        <v>17076</v>
      </c>
      <c r="H13" s="12">
        <v>19574</v>
      </c>
      <c r="I13" s="12">
        <v>3368</v>
      </c>
      <c r="J13" s="12">
        <v>196648</v>
      </c>
    </row>
    <row r="14" spans="1:10" ht="12.75" customHeight="1">
      <c r="A14" s="11" t="s">
        <v>24</v>
      </c>
      <c r="B14" s="11" t="s">
        <v>25</v>
      </c>
      <c r="C14" s="11" t="s">
        <v>23</v>
      </c>
      <c r="D14" s="12">
        <v>22280</v>
      </c>
      <c r="E14" s="12">
        <v>20871</v>
      </c>
      <c r="F14" s="12">
        <v>298</v>
      </c>
      <c r="G14" s="12">
        <v>2141</v>
      </c>
      <c r="H14" s="12">
        <v>2324</v>
      </c>
      <c r="I14" s="12">
        <v>772</v>
      </c>
      <c r="J14" s="12">
        <v>48686</v>
      </c>
    </row>
    <row r="15" spans="1:10" ht="12.75" customHeight="1">
      <c r="A15" s="11" t="s">
        <v>26</v>
      </c>
      <c r="B15" s="11" t="s">
        <v>27</v>
      </c>
      <c r="C15" s="11" t="s">
        <v>17</v>
      </c>
      <c r="D15" s="12">
        <v>37318</v>
      </c>
      <c r="E15" s="12">
        <v>75869</v>
      </c>
      <c r="F15" s="12">
        <v>2876</v>
      </c>
      <c r="G15" s="12">
        <v>6747</v>
      </c>
      <c r="H15" s="12">
        <v>6166</v>
      </c>
      <c r="I15" s="12">
        <v>1285</v>
      </c>
      <c r="J15" s="12">
        <v>130261</v>
      </c>
    </row>
    <row r="16" spans="1:10" ht="12.75" customHeight="1">
      <c r="A16" s="11" t="s">
        <v>28</v>
      </c>
      <c r="B16" s="11" t="s">
        <v>29</v>
      </c>
      <c r="C16" s="11" t="s">
        <v>30</v>
      </c>
      <c r="D16" s="12">
        <v>34775</v>
      </c>
      <c r="E16" s="12">
        <v>44069</v>
      </c>
      <c r="F16" s="12">
        <v>8410</v>
      </c>
      <c r="G16" s="12">
        <v>3273</v>
      </c>
      <c r="H16" s="12">
        <v>2252</v>
      </c>
      <c r="I16" s="12">
        <v>827</v>
      </c>
      <c r="J16" s="12">
        <v>93606</v>
      </c>
    </row>
    <row r="17" spans="1:10" ht="12.75" customHeight="1">
      <c r="A17" s="11" t="s">
        <v>31</v>
      </c>
      <c r="B17" s="11" t="s">
        <v>32</v>
      </c>
      <c r="C17" s="11" t="s">
        <v>20</v>
      </c>
      <c r="D17" s="12">
        <v>138256</v>
      </c>
      <c r="E17" s="12">
        <v>136288</v>
      </c>
      <c r="F17" s="12">
        <v>103266</v>
      </c>
      <c r="G17" s="12">
        <v>55412</v>
      </c>
      <c r="H17" s="12">
        <v>32885</v>
      </c>
      <c r="I17" s="12">
        <v>5890</v>
      </c>
      <c r="J17" s="12">
        <v>471997</v>
      </c>
    </row>
    <row r="18" spans="1:10" ht="12.75" customHeight="1">
      <c r="A18" s="11" t="s">
        <v>33</v>
      </c>
      <c r="B18" s="11" t="s">
        <v>34</v>
      </c>
      <c r="C18" s="11" t="s">
        <v>20</v>
      </c>
      <c r="D18" s="12">
        <v>49457</v>
      </c>
      <c r="E18" s="12">
        <v>92902</v>
      </c>
      <c r="F18" s="12">
        <v>3066</v>
      </c>
      <c r="G18" s="12">
        <v>8202</v>
      </c>
      <c r="H18" s="12">
        <v>8012</v>
      </c>
      <c r="I18" s="12">
        <v>1132</v>
      </c>
      <c r="J18" s="12">
        <v>162771</v>
      </c>
    </row>
    <row r="19" spans="1:10" ht="12.75" customHeight="1">
      <c r="A19" s="11" t="s">
        <v>35</v>
      </c>
      <c r="B19" s="11" t="s">
        <v>36</v>
      </c>
      <c r="C19" s="11" t="s">
        <v>20</v>
      </c>
      <c r="D19" s="12">
        <v>20720</v>
      </c>
      <c r="E19" s="12">
        <v>15332</v>
      </c>
      <c r="F19" s="12">
        <v>0</v>
      </c>
      <c r="G19" s="12">
        <v>676</v>
      </c>
      <c r="H19" s="12">
        <v>4788</v>
      </c>
      <c r="I19" s="12">
        <v>299</v>
      </c>
      <c r="J19" s="12">
        <v>41815</v>
      </c>
    </row>
    <row r="20" spans="1:10" ht="12.75" customHeight="1">
      <c r="A20" s="11" t="s">
        <v>37</v>
      </c>
      <c r="B20" s="11" t="s">
        <v>38</v>
      </c>
      <c r="C20" s="11" t="s">
        <v>39</v>
      </c>
      <c r="D20" s="12">
        <v>7597</v>
      </c>
      <c r="E20" s="12">
        <v>6239</v>
      </c>
      <c r="F20" s="12">
        <v>0</v>
      </c>
      <c r="G20" s="12">
        <v>1030</v>
      </c>
      <c r="H20" s="12">
        <v>1040</v>
      </c>
      <c r="I20" s="12">
        <v>87</v>
      </c>
      <c r="J20" s="12">
        <v>15993</v>
      </c>
    </row>
    <row r="21" spans="1:10" ht="12.75" customHeight="1">
      <c r="A21" s="11" t="s">
        <v>40</v>
      </c>
      <c r="B21" s="11" t="s">
        <v>41</v>
      </c>
      <c r="C21" s="11" t="s">
        <v>42</v>
      </c>
      <c r="D21" s="12">
        <v>23630</v>
      </c>
      <c r="E21" s="12">
        <v>20979</v>
      </c>
      <c r="F21" s="12">
        <v>2024</v>
      </c>
      <c r="G21" s="12">
        <v>1515</v>
      </c>
      <c r="H21" s="12">
        <v>2283</v>
      </c>
      <c r="I21" s="12">
        <v>273</v>
      </c>
      <c r="J21" s="12">
        <v>50704</v>
      </c>
    </row>
    <row r="22" spans="1:10" ht="12.75" customHeight="1">
      <c r="A22" s="11" t="s">
        <v>43</v>
      </c>
      <c r="B22" s="11" t="s">
        <v>44</v>
      </c>
      <c r="C22" s="11" t="s">
        <v>23</v>
      </c>
      <c r="D22" s="12">
        <v>11849</v>
      </c>
      <c r="E22" s="12">
        <v>11247</v>
      </c>
      <c r="F22" s="12">
        <v>0</v>
      </c>
      <c r="G22" s="12">
        <v>1227</v>
      </c>
      <c r="H22" s="12">
        <v>1137</v>
      </c>
      <c r="I22" s="12">
        <v>30</v>
      </c>
      <c r="J22" s="12">
        <v>25490</v>
      </c>
    </row>
    <row r="23" spans="1:10" ht="12.75" customHeight="1">
      <c r="A23" s="11" t="s">
        <v>45</v>
      </c>
      <c r="B23" s="11" t="s">
        <v>46</v>
      </c>
      <c r="C23" s="11" t="s">
        <v>23</v>
      </c>
      <c r="D23" s="12">
        <v>40319</v>
      </c>
      <c r="E23" s="12">
        <v>62195</v>
      </c>
      <c r="F23" s="12">
        <v>2990</v>
      </c>
      <c r="G23" s="12">
        <v>4187</v>
      </c>
      <c r="H23" s="12">
        <v>6825</v>
      </c>
      <c r="I23" s="12">
        <v>629</v>
      </c>
      <c r="J23" s="12">
        <v>117145</v>
      </c>
    </row>
    <row r="24" spans="1:10" ht="12.75" customHeight="1">
      <c r="A24" s="11" t="s">
        <v>47</v>
      </c>
      <c r="B24" s="11" t="s">
        <v>48</v>
      </c>
      <c r="C24" s="11" t="s">
        <v>49</v>
      </c>
      <c r="D24" s="12">
        <v>39126</v>
      </c>
      <c r="E24" s="12">
        <v>59633</v>
      </c>
      <c r="F24" s="12">
        <v>8862</v>
      </c>
      <c r="G24" s="12">
        <v>13828</v>
      </c>
      <c r="H24" s="12">
        <v>3168</v>
      </c>
      <c r="I24" s="12">
        <v>1385</v>
      </c>
      <c r="J24" s="12">
        <v>126002</v>
      </c>
    </row>
    <row r="25" spans="1:10" ht="12.75" customHeight="1">
      <c r="A25" s="11" t="s">
        <v>50</v>
      </c>
      <c r="B25" s="11" t="s">
        <v>51</v>
      </c>
      <c r="C25" s="11" t="s">
        <v>52</v>
      </c>
      <c r="D25" s="12">
        <v>61066</v>
      </c>
      <c r="E25" s="12">
        <v>72815</v>
      </c>
      <c r="F25" s="12">
        <v>8250</v>
      </c>
      <c r="G25" s="12">
        <v>9111</v>
      </c>
      <c r="H25" s="12">
        <v>13653</v>
      </c>
      <c r="I25" s="12">
        <v>1382</v>
      </c>
      <c r="J25" s="12">
        <v>166277</v>
      </c>
    </row>
    <row r="26" spans="1:10" ht="12.75" customHeight="1">
      <c r="A26" s="11" t="s">
        <v>53</v>
      </c>
      <c r="B26" s="11" t="s">
        <v>54</v>
      </c>
      <c r="C26" s="11" t="s">
        <v>23</v>
      </c>
      <c r="D26" s="12">
        <v>134342</v>
      </c>
      <c r="E26" s="12">
        <v>99203</v>
      </c>
      <c r="F26" s="12">
        <v>117944</v>
      </c>
      <c r="G26" s="12">
        <v>48549</v>
      </c>
      <c r="H26" s="12">
        <v>19845</v>
      </c>
      <c r="I26" s="12">
        <v>6858</v>
      </c>
      <c r="J26" s="12">
        <v>426741</v>
      </c>
    </row>
    <row r="27" spans="1:10" ht="12.75" customHeight="1">
      <c r="A27" s="11" t="s">
        <v>55</v>
      </c>
      <c r="B27" s="11" t="s">
        <v>56</v>
      </c>
      <c r="C27" s="11" t="s">
        <v>30</v>
      </c>
      <c r="D27" s="12">
        <v>51419</v>
      </c>
      <c r="E27" s="12">
        <v>70046</v>
      </c>
      <c r="F27" s="12">
        <v>18092</v>
      </c>
      <c r="G27" s="12">
        <v>8534</v>
      </c>
      <c r="H27" s="12">
        <v>30519</v>
      </c>
      <c r="I27" s="12">
        <v>678</v>
      </c>
      <c r="J27" s="12">
        <v>179288</v>
      </c>
    </row>
    <row r="28" spans="1:10" ht="12.75" customHeight="1">
      <c r="A28" s="11" t="s">
        <v>59</v>
      </c>
      <c r="B28" s="11" t="s">
        <v>60</v>
      </c>
      <c r="C28" s="11" t="s">
        <v>52</v>
      </c>
      <c r="D28" s="12">
        <v>21848</v>
      </c>
      <c r="E28" s="12">
        <v>28338</v>
      </c>
      <c r="F28" s="12">
        <v>858</v>
      </c>
      <c r="G28" s="12">
        <v>6301</v>
      </c>
      <c r="H28" s="12">
        <v>3388</v>
      </c>
      <c r="I28" s="12">
        <v>132</v>
      </c>
      <c r="J28" s="12">
        <v>60865</v>
      </c>
    </row>
    <row r="29" spans="1:10" ht="12.75" customHeight="1">
      <c r="A29" s="11" t="s">
        <v>61</v>
      </c>
      <c r="B29" s="11" t="s">
        <v>62</v>
      </c>
      <c r="C29" s="11" t="s">
        <v>17</v>
      </c>
      <c r="D29" s="12">
        <v>197265</v>
      </c>
      <c r="E29" s="12">
        <v>149234</v>
      </c>
      <c r="F29" s="12">
        <v>293441</v>
      </c>
      <c r="G29" s="12">
        <v>654538</v>
      </c>
      <c r="H29" s="12">
        <v>8784</v>
      </c>
      <c r="I29" s="12">
        <v>18866</v>
      </c>
      <c r="J29" s="12">
        <v>1322128</v>
      </c>
    </row>
    <row r="30" spans="1:10" ht="12.75" customHeight="1">
      <c r="A30" s="11" t="s">
        <v>63</v>
      </c>
      <c r="B30" s="11" t="s">
        <v>64</v>
      </c>
      <c r="C30" s="11" t="s">
        <v>30</v>
      </c>
      <c r="D30" s="12">
        <v>21153</v>
      </c>
      <c r="E30" s="12">
        <v>2231</v>
      </c>
      <c r="F30" s="12">
        <v>50544</v>
      </c>
      <c r="G30" s="12">
        <v>10866</v>
      </c>
      <c r="H30" s="12">
        <v>0</v>
      </c>
      <c r="I30" s="12">
        <v>312</v>
      </c>
      <c r="J30" s="12">
        <v>85106</v>
      </c>
    </row>
    <row r="31" spans="1:10" ht="12.75" customHeight="1">
      <c r="A31" s="11" t="s">
        <v>65</v>
      </c>
      <c r="B31" s="11" t="s">
        <v>66</v>
      </c>
      <c r="C31" s="11" t="s">
        <v>52</v>
      </c>
      <c r="D31" s="12">
        <v>44066</v>
      </c>
      <c r="E31" s="12">
        <v>54349</v>
      </c>
      <c r="F31" s="12">
        <v>769</v>
      </c>
      <c r="G31" s="12">
        <v>5677</v>
      </c>
      <c r="H31" s="12">
        <v>10206</v>
      </c>
      <c r="I31" s="12">
        <v>113</v>
      </c>
      <c r="J31" s="12">
        <v>115180</v>
      </c>
    </row>
    <row r="32" spans="1:10" ht="12.75" customHeight="1">
      <c r="A32" s="11" t="s">
        <v>67</v>
      </c>
      <c r="B32" s="11" t="s">
        <v>68</v>
      </c>
      <c r="C32" s="11" t="s">
        <v>42</v>
      </c>
      <c r="D32" s="12">
        <v>73675</v>
      </c>
      <c r="E32" s="12">
        <v>93092</v>
      </c>
      <c r="F32" s="12">
        <v>5444</v>
      </c>
      <c r="G32" s="12">
        <v>14613</v>
      </c>
      <c r="H32" s="12">
        <v>10760</v>
      </c>
      <c r="I32" s="12">
        <v>1116</v>
      </c>
      <c r="J32" s="12">
        <v>198700</v>
      </c>
    </row>
    <row r="33" spans="1:10" ht="12.75" customHeight="1">
      <c r="A33" s="11" t="s">
        <v>69</v>
      </c>
      <c r="B33" s="11" t="s">
        <v>70</v>
      </c>
      <c r="C33" s="11" t="s">
        <v>42</v>
      </c>
      <c r="D33" s="12">
        <v>30918</v>
      </c>
      <c r="E33" s="12">
        <v>38257</v>
      </c>
      <c r="F33" s="12">
        <v>379</v>
      </c>
      <c r="G33" s="12">
        <v>3976</v>
      </c>
      <c r="H33" s="12">
        <v>6148</v>
      </c>
      <c r="I33" s="12">
        <v>124</v>
      </c>
      <c r="J33" s="12">
        <v>79802</v>
      </c>
    </row>
    <row r="34" spans="1:10" ht="12.75" customHeight="1">
      <c r="A34" s="11" t="s">
        <v>71</v>
      </c>
      <c r="B34" s="11" t="s">
        <v>72</v>
      </c>
      <c r="C34" s="11" t="s">
        <v>52</v>
      </c>
      <c r="D34" s="12">
        <v>17295</v>
      </c>
      <c r="E34" s="12">
        <v>16518</v>
      </c>
      <c r="F34" s="12">
        <v>320</v>
      </c>
      <c r="G34" s="12">
        <v>2178</v>
      </c>
      <c r="H34" s="12">
        <v>4491</v>
      </c>
      <c r="I34" s="12">
        <v>278</v>
      </c>
      <c r="J34" s="12">
        <v>41080</v>
      </c>
    </row>
    <row r="35" spans="1:10" ht="12.75" customHeight="1">
      <c r="A35" s="11" t="s">
        <v>73</v>
      </c>
      <c r="B35" s="11" t="s">
        <v>74</v>
      </c>
      <c r="C35" s="11" t="s">
        <v>30</v>
      </c>
      <c r="D35" s="12">
        <v>36544</v>
      </c>
      <c r="E35" s="12">
        <v>125178</v>
      </c>
      <c r="F35" s="12">
        <v>7998</v>
      </c>
      <c r="G35" s="12">
        <v>8615</v>
      </c>
      <c r="H35" s="12">
        <v>2295</v>
      </c>
      <c r="I35" s="12">
        <v>1634</v>
      </c>
      <c r="J35" s="12">
        <v>182264</v>
      </c>
    </row>
    <row r="36" spans="1:10" ht="12.75" customHeight="1">
      <c r="A36" s="11" t="s">
        <v>75</v>
      </c>
      <c r="B36" s="11" t="s">
        <v>76</v>
      </c>
      <c r="C36" s="11" t="s">
        <v>30</v>
      </c>
      <c r="D36" s="12">
        <v>3289</v>
      </c>
      <c r="E36" s="12">
        <v>2590</v>
      </c>
      <c r="F36" s="12">
        <v>1098</v>
      </c>
      <c r="G36" s="12">
        <v>3963</v>
      </c>
      <c r="H36" s="12">
        <v>583</v>
      </c>
      <c r="I36" s="12">
        <v>518</v>
      </c>
      <c r="J36" s="12">
        <v>12041</v>
      </c>
    </row>
    <row r="37" spans="1:10" ht="12.75" customHeight="1">
      <c r="A37" s="11" t="s">
        <v>77</v>
      </c>
      <c r="B37" s="11" t="s">
        <v>78</v>
      </c>
      <c r="C37" s="11" t="s">
        <v>20</v>
      </c>
      <c r="D37" s="12">
        <v>54728</v>
      </c>
      <c r="E37" s="12">
        <v>107313</v>
      </c>
      <c r="F37" s="12">
        <v>5699</v>
      </c>
      <c r="G37" s="12">
        <v>20047</v>
      </c>
      <c r="H37" s="12">
        <v>11422</v>
      </c>
      <c r="I37" s="12">
        <v>1531</v>
      </c>
      <c r="J37" s="12">
        <v>200740</v>
      </c>
    </row>
    <row r="38" spans="1:10" ht="12.75" customHeight="1">
      <c r="A38" s="11" t="s">
        <v>79</v>
      </c>
      <c r="B38" s="11" t="s">
        <v>80</v>
      </c>
      <c r="C38" s="11" t="s">
        <v>17</v>
      </c>
      <c r="D38" s="12">
        <v>28107</v>
      </c>
      <c r="E38" s="12">
        <v>64973</v>
      </c>
      <c r="F38" s="12">
        <v>47423</v>
      </c>
      <c r="G38" s="12">
        <v>14947</v>
      </c>
      <c r="H38" s="12">
        <v>10523</v>
      </c>
      <c r="I38" s="12">
        <v>251</v>
      </c>
      <c r="J38" s="12">
        <v>166224</v>
      </c>
    </row>
    <row r="39" spans="1:10" ht="12.75" customHeight="1">
      <c r="A39" s="11" t="s">
        <v>81</v>
      </c>
      <c r="B39" s="11" t="s">
        <v>82</v>
      </c>
      <c r="C39" s="11" t="s">
        <v>52</v>
      </c>
      <c r="D39" s="12">
        <v>30856</v>
      </c>
      <c r="E39" s="12">
        <v>20136</v>
      </c>
      <c r="F39" s="12">
        <v>399</v>
      </c>
      <c r="G39" s="12">
        <v>2712</v>
      </c>
      <c r="H39" s="12">
        <v>5488</v>
      </c>
      <c r="I39" s="12">
        <v>41</v>
      </c>
      <c r="J39" s="12">
        <v>59632</v>
      </c>
    </row>
    <row r="40" spans="1:10" ht="12.75" customHeight="1">
      <c r="A40" s="11" t="s">
        <v>83</v>
      </c>
      <c r="B40" s="11" t="s">
        <v>84</v>
      </c>
      <c r="C40" s="11" t="s">
        <v>42</v>
      </c>
      <c r="D40" s="12">
        <v>32972</v>
      </c>
      <c r="E40" s="12">
        <v>32457</v>
      </c>
      <c r="F40" s="12">
        <v>535</v>
      </c>
      <c r="G40" s="12">
        <v>7264</v>
      </c>
      <c r="H40" s="12">
        <v>4856</v>
      </c>
      <c r="I40" s="12">
        <v>71</v>
      </c>
      <c r="J40" s="12">
        <v>78155</v>
      </c>
    </row>
    <row r="41" spans="1:10" ht="12.75" customHeight="1">
      <c r="A41" s="11" t="s">
        <v>85</v>
      </c>
      <c r="B41" s="11" t="s">
        <v>86</v>
      </c>
      <c r="C41" s="11" t="s">
        <v>30</v>
      </c>
      <c r="D41" s="12">
        <v>10286</v>
      </c>
      <c r="E41" s="12">
        <v>5314</v>
      </c>
      <c r="F41" s="12">
        <v>10</v>
      </c>
      <c r="G41" s="12">
        <v>16</v>
      </c>
      <c r="H41" s="12">
        <v>0</v>
      </c>
      <c r="I41" s="12">
        <v>6</v>
      </c>
      <c r="J41" s="12">
        <v>15632</v>
      </c>
    </row>
    <row r="42" spans="1:10" ht="12.75" customHeight="1">
      <c r="A42" s="11" t="s">
        <v>87</v>
      </c>
      <c r="B42" s="11" t="s">
        <v>88</v>
      </c>
      <c r="C42" s="11" t="s">
        <v>39</v>
      </c>
      <c r="D42" s="12">
        <v>57458</v>
      </c>
      <c r="E42" s="12">
        <v>75308</v>
      </c>
      <c r="F42" s="12">
        <v>6275</v>
      </c>
      <c r="G42" s="12">
        <v>4150</v>
      </c>
      <c r="H42" s="12">
        <v>3478</v>
      </c>
      <c r="I42" s="12">
        <v>318</v>
      </c>
      <c r="J42" s="12">
        <v>146987</v>
      </c>
    </row>
    <row r="43" spans="1:10" ht="12.75" customHeight="1">
      <c r="A43" s="11" t="s">
        <v>89</v>
      </c>
      <c r="B43" s="11" t="s">
        <v>90</v>
      </c>
      <c r="C43" s="11" t="s">
        <v>39</v>
      </c>
      <c r="D43" s="12">
        <v>47646</v>
      </c>
      <c r="E43" s="12">
        <v>55016</v>
      </c>
      <c r="F43" s="12">
        <v>438</v>
      </c>
      <c r="G43" s="12">
        <v>5771</v>
      </c>
      <c r="H43" s="12">
        <v>11681</v>
      </c>
      <c r="I43" s="12">
        <v>738</v>
      </c>
      <c r="J43" s="12">
        <v>121290</v>
      </c>
    </row>
    <row r="44" spans="1:10" ht="12.75" customHeight="1">
      <c r="A44" s="11" t="s">
        <v>91</v>
      </c>
      <c r="B44" s="11" t="s">
        <v>92</v>
      </c>
      <c r="C44" s="11" t="s">
        <v>93</v>
      </c>
      <c r="D44" s="12">
        <v>75163</v>
      </c>
      <c r="E44" s="12">
        <v>86844</v>
      </c>
      <c r="F44" s="12">
        <v>47761</v>
      </c>
      <c r="G44" s="12">
        <v>15541</v>
      </c>
      <c r="H44" s="12">
        <v>36839</v>
      </c>
      <c r="I44" s="12">
        <v>1822</v>
      </c>
      <c r="J44" s="12">
        <v>263970</v>
      </c>
    </row>
    <row r="45" spans="1:10" ht="12.75" customHeight="1">
      <c r="A45" s="11" t="s">
        <v>94</v>
      </c>
      <c r="B45" s="11" t="s">
        <v>95</v>
      </c>
      <c r="C45" s="11" t="s">
        <v>17</v>
      </c>
      <c r="D45" s="12">
        <v>63031</v>
      </c>
      <c r="E45" s="12">
        <v>97286</v>
      </c>
      <c r="F45" s="12">
        <v>30085</v>
      </c>
      <c r="G45" s="12">
        <v>24780</v>
      </c>
      <c r="H45" s="12">
        <v>19752</v>
      </c>
      <c r="I45" s="12">
        <v>1793</v>
      </c>
      <c r="J45" s="12">
        <v>236727</v>
      </c>
    </row>
    <row r="46" spans="1:10" ht="12.75" customHeight="1">
      <c r="A46" s="11" t="s">
        <v>96</v>
      </c>
      <c r="B46" s="11" t="s">
        <v>97</v>
      </c>
      <c r="C46" s="11" t="s">
        <v>30</v>
      </c>
      <c r="D46" s="12">
        <v>49973</v>
      </c>
      <c r="E46" s="12">
        <v>82609</v>
      </c>
      <c r="F46" s="12">
        <v>1576</v>
      </c>
      <c r="G46" s="12">
        <v>10923</v>
      </c>
      <c r="H46" s="12">
        <v>8268</v>
      </c>
      <c r="I46" s="12">
        <v>609</v>
      </c>
      <c r="J46" s="12">
        <v>153958</v>
      </c>
    </row>
    <row r="47" spans="1:10" ht="12.75" customHeight="1">
      <c r="A47" s="11" t="s">
        <v>98</v>
      </c>
      <c r="B47" s="11" t="s">
        <v>99</v>
      </c>
      <c r="C47" s="11" t="s">
        <v>42</v>
      </c>
      <c r="D47" s="12">
        <v>41142</v>
      </c>
      <c r="E47" s="12">
        <v>31872</v>
      </c>
      <c r="F47" s="12">
        <v>389</v>
      </c>
      <c r="G47" s="12">
        <v>20315</v>
      </c>
      <c r="H47" s="12">
        <v>4779</v>
      </c>
      <c r="I47" s="12">
        <v>666</v>
      </c>
      <c r="J47" s="12">
        <v>99163</v>
      </c>
    </row>
    <row r="48" spans="1:10" ht="12.75" customHeight="1">
      <c r="A48" s="11" t="s">
        <v>100</v>
      </c>
      <c r="B48" s="11" t="s">
        <v>101</v>
      </c>
      <c r="C48" s="11" t="s">
        <v>30</v>
      </c>
      <c r="D48" s="12">
        <v>23808</v>
      </c>
      <c r="E48" s="12">
        <v>16629</v>
      </c>
      <c r="F48" s="12">
        <v>13436</v>
      </c>
      <c r="G48" s="12">
        <v>11618</v>
      </c>
      <c r="H48" s="12">
        <v>3421</v>
      </c>
      <c r="I48" s="12">
        <v>716</v>
      </c>
      <c r="J48" s="12">
        <v>69628</v>
      </c>
    </row>
    <row r="49" spans="1:10" ht="12.75" customHeight="1">
      <c r="A49" s="11" t="s">
        <v>102</v>
      </c>
      <c r="B49" s="11" t="s">
        <v>103</v>
      </c>
      <c r="C49" s="11" t="s">
        <v>17</v>
      </c>
      <c r="D49" s="12">
        <v>33952</v>
      </c>
      <c r="E49" s="12">
        <v>62734</v>
      </c>
      <c r="F49" s="12">
        <v>25445</v>
      </c>
      <c r="G49" s="12">
        <v>27885</v>
      </c>
      <c r="H49" s="12">
        <v>21039</v>
      </c>
      <c r="I49" s="12">
        <v>440</v>
      </c>
      <c r="J49" s="12">
        <v>171495</v>
      </c>
    </row>
    <row r="50" spans="1:10" ht="12.75" customHeight="1">
      <c r="A50" s="11" t="s">
        <v>104</v>
      </c>
      <c r="B50" s="11" t="s">
        <v>105</v>
      </c>
      <c r="C50" s="11" t="s">
        <v>23</v>
      </c>
      <c r="D50" s="12">
        <v>68534</v>
      </c>
      <c r="E50" s="12">
        <v>93745</v>
      </c>
      <c r="F50" s="12">
        <v>49922</v>
      </c>
      <c r="G50" s="12">
        <v>35122</v>
      </c>
      <c r="H50" s="12">
        <v>22206</v>
      </c>
      <c r="I50" s="12">
        <v>3295</v>
      </c>
      <c r="J50" s="12">
        <v>272824</v>
      </c>
    </row>
    <row r="51" spans="1:10" ht="12.75" customHeight="1">
      <c r="A51" s="11" t="s">
        <v>106</v>
      </c>
      <c r="B51" s="11" t="s">
        <v>107</v>
      </c>
      <c r="C51" s="11" t="s">
        <v>23</v>
      </c>
      <c r="D51" s="12">
        <v>17316</v>
      </c>
      <c r="E51" s="12">
        <v>13389</v>
      </c>
      <c r="F51" s="12">
        <v>267</v>
      </c>
      <c r="G51" s="12">
        <v>8649</v>
      </c>
      <c r="H51" s="12">
        <v>4677</v>
      </c>
      <c r="I51" s="12">
        <v>59</v>
      </c>
      <c r="J51" s="12">
        <v>44357</v>
      </c>
    </row>
    <row r="52" spans="1:10" ht="12.75" customHeight="1">
      <c r="A52" s="11" t="s">
        <v>108</v>
      </c>
      <c r="B52" s="11" t="s">
        <v>109</v>
      </c>
      <c r="C52" s="11" t="s">
        <v>23</v>
      </c>
      <c r="D52" s="12">
        <v>27330</v>
      </c>
      <c r="E52" s="12">
        <v>31435</v>
      </c>
      <c r="F52" s="12">
        <v>1018</v>
      </c>
      <c r="G52" s="12">
        <v>4577</v>
      </c>
      <c r="H52" s="12">
        <v>6315</v>
      </c>
      <c r="I52" s="12">
        <v>142</v>
      </c>
      <c r="J52" s="12">
        <v>70817</v>
      </c>
    </row>
    <row r="53" spans="1:10" ht="12.75" customHeight="1">
      <c r="A53" s="11" t="s">
        <v>110</v>
      </c>
      <c r="B53" s="11" t="s">
        <v>111</v>
      </c>
      <c r="C53" s="11" t="s">
        <v>30</v>
      </c>
      <c r="D53" s="12">
        <v>28458</v>
      </c>
      <c r="E53" s="12">
        <v>38063</v>
      </c>
      <c r="F53" s="12">
        <v>5419</v>
      </c>
      <c r="G53" s="12">
        <v>3473</v>
      </c>
      <c r="H53" s="12">
        <v>7207</v>
      </c>
      <c r="I53" s="12">
        <v>282</v>
      </c>
      <c r="J53" s="12">
        <v>82902</v>
      </c>
    </row>
    <row r="54" spans="1:10" ht="12.75" customHeight="1">
      <c r="A54" s="11" t="s">
        <v>112</v>
      </c>
      <c r="B54" s="11" t="s">
        <v>113</v>
      </c>
      <c r="C54" s="11" t="s">
        <v>30</v>
      </c>
      <c r="D54" s="12">
        <v>65909</v>
      </c>
      <c r="E54" s="12">
        <v>90666</v>
      </c>
      <c r="F54" s="12">
        <v>8769</v>
      </c>
      <c r="G54" s="12">
        <v>7202</v>
      </c>
      <c r="H54" s="12">
        <v>14459</v>
      </c>
      <c r="I54" s="12">
        <v>825</v>
      </c>
      <c r="J54" s="12">
        <v>187830</v>
      </c>
    </row>
    <row r="55" spans="1:10" ht="12.75" customHeight="1">
      <c r="A55" s="11" t="s">
        <v>114</v>
      </c>
      <c r="B55" s="11" t="s">
        <v>115</v>
      </c>
      <c r="C55" s="11" t="s">
        <v>30</v>
      </c>
      <c r="D55" s="12">
        <v>5021</v>
      </c>
      <c r="E55" s="12">
        <v>6901</v>
      </c>
      <c r="F55" s="12">
        <v>164</v>
      </c>
      <c r="G55" s="12">
        <v>6807</v>
      </c>
      <c r="H55" s="12">
        <v>1203</v>
      </c>
      <c r="I55" s="12">
        <v>0</v>
      </c>
      <c r="J55" s="12">
        <v>20096</v>
      </c>
    </row>
    <row r="56" spans="1:10" ht="12.75" customHeight="1">
      <c r="A56" s="11" t="s">
        <v>116</v>
      </c>
      <c r="B56" s="11" t="s">
        <v>117</v>
      </c>
      <c r="C56" s="11" t="s">
        <v>20</v>
      </c>
      <c r="D56" s="12">
        <v>16239</v>
      </c>
      <c r="E56" s="12">
        <v>8313</v>
      </c>
      <c r="F56" s="12">
        <v>1253</v>
      </c>
      <c r="G56" s="12">
        <v>4309</v>
      </c>
      <c r="H56" s="12">
        <v>3865</v>
      </c>
      <c r="I56" s="12">
        <v>193</v>
      </c>
      <c r="J56" s="12">
        <v>34172</v>
      </c>
    </row>
    <row r="57" spans="1:10" ht="12.75" customHeight="1">
      <c r="A57" s="11" t="s">
        <v>118</v>
      </c>
      <c r="B57" s="11" t="s">
        <v>119</v>
      </c>
      <c r="C57" s="11" t="s">
        <v>17</v>
      </c>
      <c r="D57" s="12">
        <v>63614</v>
      </c>
      <c r="E57" s="12">
        <v>103914</v>
      </c>
      <c r="F57" s="12">
        <v>8354</v>
      </c>
      <c r="G57" s="12">
        <v>40353</v>
      </c>
      <c r="H57" s="12">
        <v>20955</v>
      </c>
      <c r="I57" s="12">
        <v>637</v>
      </c>
      <c r="J57" s="12">
        <v>237827</v>
      </c>
    </row>
    <row r="58" spans="1:10" ht="12.75" customHeight="1">
      <c r="A58" s="11" t="s">
        <v>120</v>
      </c>
      <c r="B58" s="11" t="s">
        <v>121</v>
      </c>
      <c r="C58" s="11" t="s">
        <v>30</v>
      </c>
      <c r="D58" s="12">
        <v>1621</v>
      </c>
      <c r="E58" s="12">
        <v>2409</v>
      </c>
      <c r="F58" s="12">
        <v>34</v>
      </c>
      <c r="G58" s="12">
        <v>1691</v>
      </c>
      <c r="H58" s="12">
        <v>1033</v>
      </c>
      <c r="I58" s="12">
        <v>59</v>
      </c>
      <c r="J58" s="12">
        <v>6847</v>
      </c>
    </row>
    <row r="59" spans="1:10" ht="12.75" customHeight="1">
      <c r="A59" s="11" t="s">
        <v>122</v>
      </c>
      <c r="B59" s="11" t="s">
        <v>123</v>
      </c>
      <c r="C59" s="11" t="s">
        <v>49</v>
      </c>
      <c r="D59" s="12">
        <v>53595</v>
      </c>
      <c r="E59" s="12">
        <v>69827</v>
      </c>
      <c r="F59" s="12">
        <v>4188</v>
      </c>
      <c r="G59" s="12">
        <v>9468</v>
      </c>
      <c r="H59" s="12">
        <v>1257</v>
      </c>
      <c r="I59" s="12">
        <v>1240</v>
      </c>
      <c r="J59" s="12">
        <v>139575</v>
      </c>
    </row>
    <row r="60" spans="1:10" ht="12.75" customHeight="1">
      <c r="A60" s="11" t="s">
        <v>124</v>
      </c>
      <c r="B60" s="11" t="s">
        <v>125</v>
      </c>
      <c r="C60" s="11" t="s">
        <v>49</v>
      </c>
      <c r="D60" s="12">
        <v>57103</v>
      </c>
      <c r="E60" s="12">
        <v>77191</v>
      </c>
      <c r="F60" s="12">
        <v>9680</v>
      </c>
      <c r="G60" s="12">
        <v>12740</v>
      </c>
      <c r="H60" s="12">
        <v>14643</v>
      </c>
      <c r="I60" s="12">
        <v>995</v>
      </c>
      <c r="J60" s="12">
        <v>172352</v>
      </c>
    </row>
    <row r="61" spans="1:10" ht="12.75" customHeight="1">
      <c r="A61" s="11" t="s">
        <v>126</v>
      </c>
      <c r="B61" s="11" t="s">
        <v>127</v>
      </c>
      <c r="C61" s="11" t="s">
        <v>30</v>
      </c>
      <c r="D61" s="12">
        <v>172260</v>
      </c>
      <c r="E61" s="12">
        <v>163096</v>
      </c>
      <c r="F61" s="12">
        <v>313886</v>
      </c>
      <c r="G61" s="12">
        <v>71269</v>
      </c>
      <c r="H61" s="12">
        <v>36807</v>
      </c>
      <c r="I61" s="12">
        <v>8195</v>
      </c>
      <c r="J61" s="12">
        <v>765513</v>
      </c>
    </row>
    <row r="62" spans="1:10" ht="12.75" customHeight="1">
      <c r="A62" s="11" t="s">
        <v>128</v>
      </c>
      <c r="B62" s="11" t="s">
        <v>129</v>
      </c>
      <c r="C62" s="11" t="s">
        <v>20</v>
      </c>
      <c r="D62" s="12">
        <v>33913</v>
      </c>
      <c r="E62" s="12">
        <v>43978</v>
      </c>
      <c r="F62" s="12">
        <v>12905</v>
      </c>
      <c r="G62" s="12">
        <v>18599</v>
      </c>
      <c r="H62" s="12">
        <v>7813</v>
      </c>
      <c r="I62" s="12">
        <v>2007</v>
      </c>
      <c r="J62" s="12">
        <v>119215</v>
      </c>
    </row>
    <row r="63" spans="1:10" ht="12.75" customHeight="1">
      <c r="A63" s="11" t="s">
        <v>130</v>
      </c>
      <c r="B63" s="11" t="s">
        <v>131</v>
      </c>
      <c r="C63" s="11" t="s">
        <v>52</v>
      </c>
      <c r="D63" s="12">
        <v>62503</v>
      </c>
      <c r="E63" s="12">
        <v>77195</v>
      </c>
      <c r="F63" s="12">
        <v>11465</v>
      </c>
      <c r="G63" s="12">
        <v>11288</v>
      </c>
      <c r="H63" s="12">
        <v>21846</v>
      </c>
      <c r="I63" s="12">
        <v>1097</v>
      </c>
      <c r="J63" s="12">
        <v>185394</v>
      </c>
    </row>
    <row r="64" spans="1:10" ht="12.75" customHeight="1">
      <c r="A64" s="11" t="s">
        <v>132</v>
      </c>
      <c r="B64" s="11" t="s">
        <v>133</v>
      </c>
      <c r="C64" s="11" t="s">
        <v>30</v>
      </c>
      <c r="D64" s="12">
        <v>140908</v>
      </c>
      <c r="E64" s="12">
        <v>146544</v>
      </c>
      <c r="F64" s="12">
        <v>154745</v>
      </c>
      <c r="G64" s="12">
        <v>84394</v>
      </c>
      <c r="H64" s="12">
        <v>19438</v>
      </c>
      <c r="I64" s="12">
        <v>8191</v>
      </c>
      <c r="J64" s="12">
        <v>554220</v>
      </c>
    </row>
    <row r="65" spans="1:10" ht="12.75" customHeight="1">
      <c r="A65" s="11" t="s">
        <v>134</v>
      </c>
      <c r="B65" s="11" t="s">
        <v>135</v>
      </c>
      <c r="C65" s="11" t="s">
        <v>30</v>
      </c>
      <c r="D65" s="12">
        <v>73531</v>
      </c>
      <c r="E65" s="12">
        <v>97875</v>
      </c>
      <c r="F65" s="12">
        <v>3301</v>
      </c>
      <c r="G65" s="12">
        <v>10224</v>
      </c>
      <c r="H65" s="12">
        <v>17044</v>
      </c>
      <c r="I65" s="12">
        <v>1355</v>
      </c>
      <c r="J65" s="12">
        <v>203330</v>
      </c>
    </row>
    <row r="66" spans="1:10" ht="12.75" customHeight="1">
      <c r="A66" s="11" t="s">
        <v>136</v>
      </c>
      <c r="B66" s="11" t="s">
        <v>137</v>
      </c>
      <c r="C66" s="11" t="s">
        <v>42</v>
      </c>
      <c r="D66" s="12">
        <v>47513</v>
      </c>
      <c r="E66" s="12">
        <v>63948</v>
      </c>
      <c r="F66" s="12">
        <v>26827</v>
      </c>
      <c r="G66" s="12">
        <v>33607</v>
      </c>
      <c r="H66" s="12">
        <v>11252</v>
      </c>
      <c r="I66" s="12">
        <v>1038</v>
      </c>
      <c r="J66" s="12">
        <v>184185</v>
      </c>
    </row>
    <row r="67" spans="1:10" ht="12.75" customHeight="1">
      <c r="A67" s="11" t="s">
        <v>138</v>
      </c>
      <c r="B67" s="11" t="s">
        <v>139</v>
      </c>
      <c r="C67" s="11" t="s">
        <v>49</v>
      </c>
      <c r="D67" s="12">
        <v>148467</v>
      </c>
      <c r="E67" s="12">
        <v>166696</v>
      </c>
      <c r="F67" s="12">
        <v>120433</v>
      </c>
      <c r="G67" s="12">
        <v>50968</v>
      </c>
      <c r="H67" s="12">
        <v>45416</v>
      </c>
      <c r="I67" s="12">
        <v>5574</v>
      </c>
      <c r="J67" s="12">
        <v>537554</v>
      </c>
    </row>
    <row r="68" spans="1:10" ht="12.75" customHeight="1">
      <c r="A68" s="11" t="s">
        <v>140</v>
      </c>
      <c r="B68" s="11" t="s">
        <v>141</v>
      </c>
      <c r="C68" s="11" t="s">
        <v>49</v>
      </c>
      <c r="D68" s="12">
        <v>8204</v>
      </c>
      <c r="E68" s="12">
        <v>4288</v>
      </c>
      <c r="F68" s="12">
        <v>0</v>
      </c>
      <c r="G68" s="12">
        <v>189</v>
      </c>
      <c r="H68" s="12">
        <v>0</v>
      </c>
      <c r="I68" s="12">
        <v>75</v>
      </c>
      <c r="J68" s="12">
        <v>12756</v>
      </c>
    </row>
    <row r="69" spans="1:10" ht="12.75" customHeight="1">
      <c r="A69" s="11" t="s">
        <v>142</v>
      </c>
      <c r="B69" s="11" t="s">
        <v>143</v>
      </c>
      <c r="C69" s="11" t="s">
        <v>49</v>
      </c>
      <c r="D69" s="12">
        <v>66180</v>
      </c>
      <c r="E69" s="12">
        <v>79041</v>
      </c>
      <c r="F69" s="12">
        <v>1400</v>
      </c>
      <c r="G69" s="12">
        <v>12590</v>
      </c>
      <c r="H69" s="12">
        <v>18468</v>
      </c>
      <c r="I69" s="12">
        <v>292</v>
      </c>
      <c r="J69" s="12">
        <v>177971</v>
      </c>
    </row>
    <row r="70" spans="1:10" ht="12.75" customHeight="1">
      <c r="A70" s="11" t="s">
        <v>144</v>
      </c>
      <c r="B70" s="11" t="s">
        <v>145</v>
      </c>
      <c r="C70" s="11" t="s">
        <v>49</v>
      </c>
      <c r="D70" s="12">
        <v>9689</v>
      </c>
      <c r="E70" s="12">
        <v>9711</v>
      </c>
      <c r="F70" s="12">
        <v>9</v>
      </c>
      <c r="G70" s="12">
        <v>893</v>
      </c>
      <c r="H70" s="12">
        <v>2937</v>
      </c>
      <c r="I70" s="12">
        <v>28</v>
      </c>
      <c r="J70" s="12">
        <v>23267</v>
      </c>
    </row>
    <row r="71" spans="1:10" ht="12.75" customHeight="1">
      <c r="A71" s="11" t="s">
        <v>146</v>
      </c>
      <c r="B71" s="11" t="s">
        <v>147</v>
      </c>
      <c r="C71" s="11" t="s">
        <v>39</v>
      </c>
      <c r="D71" s="12">
        <v>65895</v>
      </c>
      <c r="E71" s="12">
        <v>98274</v>
      </c>
      <c r="F71" s="12">
        <v>49634</v>
      </c>
      <c r="G71" s="12">
        <v>25146</v>
      </c>
      <c r="H71" s="12">
        <v>24072</v>
      </c>
      <c r="I71" s="12">
        <v>841</v>
      </c>
      <c r="J71" s="12">
        <v>263862</v>
      </c>
    </row>
    <row r="72" spans="1:10" ht="12.75" customHeight="1">
      <c r="A72" s="11" t="s">
        <v>148</v>
      </c>
      <c r="B72" s="11" t="s">
        <v>149</v>
      </c>
      <c r="C72" s="11" t="s">
        <v>39</v>
      </c>
      <c r="D72" s="12">
        <v>40669</v>
      </c>
      <c r="E72" s="12">
        <v>39214</v>
      </c>
      <c r="F72" s="12">
        <v>3064</v>
      </c>
      <c r="G72" s="12">
        <v>7154</v>
      </c>
      <c r="H72" s="12">
        <v>6192</v>
      </c>
      <c r="I72" s="12">
        <v>205</v>
      </c>
      <c r="J72" s="12">
        <v>96498</v>
      </c>
    </row>
    <row r="73" spans="1:10" ht="12.75" customHeight="1">
      <c r="A73" s="11" t="s">
        <v>150</v>
      </c>
      <c r="B73" s="11" t="s">
        <v>151</v>
      </c>
      <c r="C73" s="11" t="s">
        <v>42</v>
      </c>
      <c r="D73" s="12">
        <v>111801</v>
      </c>
      <c r="E73" s="12">
        <v>124636</v>
      </c>
      <c r="F73" s="12">
        <v>115600</v>
      </c>
      <c r="G73" s="12">
        <v>61441</v>
      </c>
      <c r="H73" s="12">
        <v>14059</v>
      </c>
      <c r="I73" s="12">
        <v>6207</v>
      </c>
      <c r="J73" s="12">
        <v>433744</v>
      </c>
    </row>
    <row r="74" spans="1:10" ht="12.75" customHeight="1">
      <c r="A74" s="11" t="s">
        <v>152</v>
      </c>
      <c r="B74" s="11" t="s">
        <v>153</v>
      </c>
      <c r="C74" s="11" t="s">
        <v>42</v>
      </c>
      <c r="D74" s="12">
        <v>22455</v>
      </c>
      <c r="E74" s="12">
        <v>22499</v>
      </c>
      <c r="F74" s="12">
        <v>175</v>
      </c>
      <c r="G74" s="12">
        <v>1539</v>
      </c>
      <c r="H74" s="12">
        <v>5467</v>
      </c>
      <c r="I74" s="12">
        <v>139</v>
      </c>
      <c r="J74" s="12">
        <v>52274</v>
      </c>
    </row>
    <row r="75" spans="1:10" ht="12.75" customHeight="1">
      <c r="A75" s="11" t="s">
        <v>154</v>
      </c>
      <c r="B75" s="11" t="s">
        <v>155</v>
      </c>
      <c r="C75" s="11" t="s">
        <v>42</v>
      </c>
      <c r="D75" s="12">
        <v>72750</v>
      </c>
      <c r="E75" s="12">
        <v>83007</v>
      </c>
      <c r="F75" s="12">
        <v>8127</v>
      </c>
      <c r="G75" s="12">
        <v>5306</v>
      </c>
      <c r="H75" s="12">
        <v>717</v>
      </c>
      <c r="I75" s="12">
        <v>519</v>
      </c>
      <c r="J75" s="12">
        <v>170426</v>
      </c>
    </row>
    <row r="76" spans="1:10" ht="12.75" customHeight="1">
      <c r="A76" s="11" t="s">
        <v>156</v>
      </c>
      <c r="B76" s="11" t="s">
        <v>157</v>
      </c>
      <c r="C76" s="11" t="s">
        <v>42</v>
      </c>
      <c r="D76" s="12">
        <v>3031</v>
      </c>
      <c r="E76" s="12">
        <v>4037</v>
      </c>
      <c r="F76" s="12">
        <v>0</v>
      </c>
      <c r="G76" s="12">
        <v>1405</v>
      </c>
      <c r="H76" s="12">
        <v>300</v>
      </c>
      <c r="I76" s="12">
        <v>161</v>
      </c>
      <c r="J76" s="12">
        <v>8934</v>
      </c>
    </row>
    <row r="77" spans="1:10" s="15" customFormat="1" ht="12.75" customHeight="1">
      <c r="A77" s="13" t="s">
        <v>158</v>
      </c>
      <c r="B77" s="13" t="s">
        <v>159</v>
      </c>
      <c r="C77" s="13" t="s">
        <v>30</v>
      </c>
      <c r="D77" s="14">
        <v>70659</v>
      </c>
      <c r="E77" s="14">
        <v>117552</v>
      </c>
      <c r="F77" s="14">
        <v>1029</v>
      </c>
      <c r="G77" s="14">
        <v>11410</v>
      </c>
      <c r="H77" s="14">
        <v>13319</v>
      </c>
      <c r="I77" s="14">
        <v>802</v>
      </c>
      <c r="J77" s="14">
        <v>214771</v>
      </c>
    </row>
    <row r="78" spans="1:10" s="15" customFormat="1" ht="12.75" customHeight="1">
      <c r="A78" s="13" t="s">
        <v>160</v>
      </c>
      <c r="B78" s="13" t="s">
        <v>161</v>
      </c>
      <c r="C78" s="13" t="s">
        <v>30</v>
      </c>
      <c r="D78" s="14">
        <v>11084</v>
      </c>
      <c r="E78" s="14">
        <v>50847</v>
      </c>
      <c r="F78" s="14">
        <v>1089</v>
      </c>
      <c r="G78" s="14">
        <v>47570</v>
      </c>
      <c r="H78" s="14">
        <v>27313</v>
      </c>
      <c r="I78" s="14">
        <v>3618</v>
      </c>
      <c r="J78" s="14">
        <v>141521</v>
      </c>
    </row>
    <row r="79" spans="1:10" s="15" customFormat="1" ht="12.75" customHeight="1">
      <c r="A79" s="13" t="s">
        <v>162</v>
      </c>
      <c r="B79" s="13" t="s">
        <v>163</v>
      </c>
      <c r="C79" s="13" t="s">
        <v>30</v>
      </c>
      <c r="D79" s="14">
        <v>198333</v>
      </c>
      <c r="E79" s="14">
        <v>208452</v>
      </c>
      <c r="F79" s="14">
        <v>300734</v>
      </c>
      <c r="G79" s="14">
        <v>127372</v>
      </c>
      <c r="H79" s="14">
        <v>29428</v>
      </c>
      <c r="I79" s="14">
        <v>6891</v>
      </c>
      <c r="J79" s="14">
        <v>871210</v>
      </c>
    </row>
    <row r="80" spans="1:10" s="15" customFormat="1" ht="12.75" customHeight="1">
      <c r="A80" s="13" t="s">
        <v>164</v>
      </c>
      <c r="B80" s="13" t="s">
        <v>165</v>
      </c>
      <c r="C80" s="13" t="s">
        <v>30</v>
      </c>
      <c r="D80" s="14">
        <v>3615</v>
      </c>
      <c r="E80" s="14">
        <v>2296</v>
      </c>
      <c r="F80" s="14">
        <v>2928</v>
      </c>
      <c r="G80" s="14">
        <v>565</v>
      </c>
      <c r="H80" s="14">
        <v>39</v>
      </c>
      <c r="I80" s="14">
        <v>40</v>
      </c>
      <c r="J80" s="14">
        <v>9483</v>
      </c>
    </row>
    <row r="81" spans="1:10" s="15" customFormat="1" ht="12.75" customHeight="1">
      <c r="A81" s="13" t="s">
        <v>166</v>
      </c>
      <c r="B81" s="13" t="s">
        <v>167</v>
      </c>
      <c r="C81" s="13" t="s">
        <v>30</v>
      </c>
      <c r="D81" s="14">
        <v>7434</v>
      </c>
      <c r="E81" s="14">
        <v>89391</v>
      </c>
      <c r="F81" s="14">
        <v>1463</v>
      </c>
      <c r="G81" s="14">
        <v>5148</v>
      </c>
      <c r="H81" s="14">
        <v>2233</v>
      </c>
      <c r="I81" s="14">
        <v>901</v>
      </c>
      <c r="J81" s="14">
        <v>106570</v>
      </c>
    </row>
    <row r="82" spans="1:10" s="15" customFormat="1" ht="12.75" customHeight="1">
      <c r="A82" s="13" t="s">
        <v>168</v>
      </c>
      <c r="B82" s="13" t="s">
        <v>169</v>
      </c>
      <c r="C82" s="13" t="s">
        <v>30</v>
      </c>
      <c r="D82" s="14">
        <v>27962</v>
      </c>
      <c r="E82" s="14">
        <v>126746</v>
      </c>
      <c r="F82" s="14">
        <v>23525</v>
      </c>
      <c r="G82" s="14">
        <v>28103</v>
      </c>
      <c r="H82" s="14">
        <v>31356</v>
      </c>
      <c r="I82" s="14">
        <v>6043</v>
      </c>
      <c r="J82" s="14">
        <v>243735</v>
      </c>
    </row>
    <row r="83" spans="1:10" s="15" customFormat="1" ht="12.75" customHeight="1">
      <c r="A83" s="13" t="s">
        <v>170</v>
      </c>
      <c r="B83" s="13" t="s">
        <v>171</v>
      </c>
      <c r="C83" s="13" t="s">
        <v>30</v>
      </c>
      <c r="D83" s="14">
        <v>22184</v>
      </c>
      <c r="E83" s="14">
        <v>13342</v>
      </c>
      <c r="F83" s="14">
        <v>71791</v>
      </c>
      <c r="G83" s="14">
        <v>5192</v>
      </c>
      <c r="H83" s="14">
        <v>300</v>
      </c>
      <c r="I83" s="14">
        <v>416</v>
      </c>
      <c r="J83" s="14">
        <v>113225</v>
      </c>
    </row>
    <row r="84" spans="1:10" s="15" customFormat="1" ht="12.75" customHeight="1">
      <c r="A84" s="13" t="s">
        <v>172</v>
      </c>
      <c r="B84" s="13" t="s">
        <v>173</v>
      </c>
      <c r="C84" s="13" t="s">
        <v>30</v>
      </c>
      <c r="D84" s="14">
        <v>58454</v>
      </c>
      <c r="E84" s="14">
        <v>84870</v>
      </c>
      <c r="F84" s="14">
        <v>2570</v>
      </c>
      <c r="G84" s="14">
        <v>8351</v>
      </c>
      <c r="H84" s="14">
        <v>482</v>
      </c>
      <c r="I84" s="14">
        <v>939</v>
      </c>
      <c r="J84" s="14">
        <v>155666</v>
      </c>
    </row>
    <row r="85" spans="1:10" s="15" customFormat="1" ht="12.75" customHeight="1">
      <c r="A85" s="13" t="s">
        <v>174</v>
      </c>
      <c r="B85" s="13" t="s">
        <v>175</v>
      </c>
      <c r="C85" s="13" t="s">
        <v>30</v>
      </c>
      <c r="D85" s="14">
        <v>45450</v>
      </c>
      <c r="E85" s="14">
        <v>73959</v>
      </c>
      <c r="F85" s="14">
        <v>4068</v>
      </c>
      <c r="G85" s="14">
        <v>5716</v>
      </c>
      <c r="H85" s="14">
        <v>8378</v>
      </c>
      <c r="I85" s="14">
        <v>697</v>
      </c>
      <c r="J85" s="14">
        <v>138268</v>
      </c>
    </row>
    <row r="86" spans="1:10" s="15" customFormat="1" ht="12.75" customHeight="1">
      <c r="A86" s="13" t="s">
        <v>176</v>
      </c>
      <c r="B86" s="13" t="s">
        <v>177</v>
      </c>
      <c r="C86" s="13" t="s">
        <v>39</v>
      </c>
      <c r="D86" s="14">
        <v>66624</v>
      </c>
      <c r="E86" s="14">
        <v>70726</v>
      </c>
      <c r="F86" s="14">
        <v>38670</v>
      </c>
      <c r="G86" s="14">
        <v>21069</v>
      </c>
      <c r="H86" s="14">
        <v>39261</v>
      </c>
      <c r="I86" s="14">
        <v>1407</v>
      </c>
      <c r="J86" s="14">
        <v>237757</v>
      </c>
    </row>
    <row r="87" spans="1:10" s="15" customFormat="1" ht="12.75" customHeight="1">
      <c r="A87" s="13" t="s">
        <v>178</v>
      </c>
      <c r="B87" s="13" t="s">
        <v>179</v>
      </c>
      <c r="C87" s="13" t="s">
        <v>42</v>
      </c>
      <c r="D87" s="14">
        <v>196466</v>
      </c>
      <c r="E87" s="14">
        <v>262075</v>
      </c>
      <c r="F87" s="14">
        <v>188019</v>
      </c>
      <c r="G87" s="14">
        <v>97764</v>
      </c>
      <c r="H87" s="14">
        <v>47760</v>
      </c>
      <c r="I87" s="14">
        <v>15227</v>
      </c>
      <c r="J87" s="14">
        <v>807311</v>
      </c>
    </row>
    <row r="88" spans="1:10" s="15" customFormat="1" ht="12.75" customHeight="1">
      <c r="A88" s="13" t="s">
        <v>180</v>
      </c>
      <c r="B88" s="13" t="s">
        <v>181</v>
      </c>
      <c r="C88" s="13" t="s">
        <v>42</v>
      </c>
      <c r="D88" s="14">
        <v>96318</v>
      </c>
      <c r="E88" s="14">
        <v>113943</v>
      </c>
      <c r="F88" s="14">
        <v>5163</v>
      </c>
      <c r="G88" s="14">
        <v>14041</v>
      </c>
      <c r="H88" s="14">
        <v>13942</v>
      </c>
      <c r="I88" s="14">
        <v>1998</v>
      </c>
      <c r="J88" s="14">
        <v>245405</v>
      </c>
    </row>
    <row r="89" spans="1:10" s="15" customFormat="1" ht="12.75" customHeight="1">
      <c r="A89" s="13" t="s">
        <v>182</v>
      </c>
      <c r="B89" s="13" t="s">
        <v>183</v>
      </c>
      <c r="C89" s="13" t="s">
        <v>30</v>
      </c>
      <c r="D89" s="14">
        <v>52709</v>
      </c>
      <c r="E89" s="14">
        <v>94920</v>
      </c>
      <c r="F89" s="14">
        <v>3682</v>
      </c>
      <c r="G89" s="14">
        <v>17776</v>
      </c>
      <c r="H89" s="14">
        <v>5169</v>
      </c>
      <c r="I89" s="14">
        <v>178</v>
      </c>
      <c r="J89" s="14">
        <v>174434</v>
      </c>
    </row>
    <row r="90" spans="1:10" s="15" customFormat="1" ht="12.75" customHeight="1">
      <c r="A90" s="13" t="s">
        <v>184</v>
      </c>
      <c r="B90" s="13" t="s">
        <v>185</v>
      </c>
      <c r="C90" s="13" t="s">
        <v>93</v>
      </c>
      <c r="D90" s="14">
        <v>106384</v>
      </c>
      <c r="E90" s="14">
        <v>116415</v>
      </c>
      <c r="F90" s="14">
        <v>86053</v>
      </c>
      <c r="G90" s="14">
        <v>51176</v>
      </c>
      <c r="H90" s="14">
        <v>21703</v>
      </c>
      <c r="I90" s="14">
        <v>4562</v>
      </c>
      <c r="J90" s="14">
        <v>386293</v>
      </c>
    </row>
    <row r="91" spans="1:10" s="15" customFormat="1" ht="12.75" customHeight="1">
      <c r="A91" s="13" t="s">
        <v>186</v>
      </c>
      <c r="B91" s="13" t="s">
        <v>187</v>
      </c>
      <c r="C91" s="13" t="s">
        <v>20</v>
      </c>
      <c r="D91" s="14">
        <v>10989</v>
      </c>
      <c r="E91" s="14">
        <v>7706</v>
      </c>
      <c r="F91" s="14">
        <v>206</v>
      </c>
      <c r="G91" s="14">
        <v>740</v>
      </c>
      <c r="H91" s="14">
        <v>1077</v>
      </c>
      <c r="I91" s="14">
        <v>77</v>
      </c>
      <c r="J91" s="14">
        <v>20795</v>
      </c>
    </row>
    <row r="92" spans="1:10" s="15" customFormat="1" ht="12.75" customHeight="1">
      <c r="A92" s="13" t="s">
        <v>188</v>
      </c>
      <c r="B92" s="13" t="s">
        <v>189</v>
      </c>
      <c r="C92" s="13" t="s">
        <v>39</v>
      </c>
      <c r="D92" s="14">
        <v>34155</v>
      </c>
      <c r="E92" s="14">
        <v>49888</v>
      </c>
      <c r="F92" s="14">
        <v>1600</v>
      </c>
      <c r="G92" s="14">
        <v>4553</v>
      </c>
      <c r="H92" s="14">
        <v>7202</v>
      </c>
      <c r="I92" s="14">
        <v>597</v>
      </c>
      <c r="J92" s="14">
        <v>97995</v>
      </c>
    </row>
    <row r="93" spans="1:10" s="15" customFormat="1" ht="12.75" customHeight="1">
      <c r="A93" s="13" t="s">
        <v>190</v>
      </c>
      <c r="B93" s="13" t="s">
        <v>191</v>
      </c>
      <c r="C93" s="13" t="s">
        <v>93</v>
      </c>
      <c r="D93" s="14">
        <v>69902</v>
      </c>
      <c r="E93" s="14">
        <v>110120</v>
      </c>
      <c r="F93" s="14">
        <v>4685</v>
      </c>
      <c r="G93" s="14">
        <v>14729</v>
      </c>
      <c r="H93" s="14">
        <v>15029</v>
      </c>
      <c r="I93" s="14">
        <v>138</v>
      </c>
      <c r="J93" s="14">
        <v>214603</v>
      </c>
    </row>
    <row r="94" spans="1:10" s="15" customFormat="1" ht="12.75" customHeight="1">
      <c r="A94" s="13" t="s">
        <v>192</v>
      </c>
      <c r="B94" s="13" t="s">
        <v>193</v>
      </c>
      <c r="C94" s="13" t="s">
        <v>17</v>
      </c>
      <c r="D94" s="14">
        <v>5982</v>
      </c>
      <c r="E94" s="14">
        <v>5493</v>
      </c>
      <c r="F94" s="14">
        <v>12</v>
      </c>
      <c r="G94" s="14">
        <v>517</v>
      </c>
      <c r="H94" s="14">
        <v>557</v>
      </c>
      <c r="I94" s="14">
        <v>112</v>
      </c>
      <c r="J94" s="14">
        <v>12673</v>
      </c>
    </row>
    <row r="95" spans="1:10" s="15" customFormat="1" ht="12.75" customHeight="1">
      <c r="A95" s="13" t="s">
        <v>194</v>
      </c>
      <c r="B95" s="13" t="s">
        <v>195</v>
      </c>
      <c r="C95" s="13" t="s">
        <v>39</v>
      </c>
      <c r="D95" s="14">
        <v>139309</v>
      </c>
      <c r="E95" s="14">
        <v>185215</v>
      </c>
      <c r="F95" s="14">
        <v>100120</v>
      </c>
      <c r="G95" s="14">
        <v>63416</v>
      </c>
      <c r="H95" s="14">
        <v>30998</v>
      </c>
      <c r="I95" s="14">
        <v>1229</v>
      </c>
      <c r="J95" s="14">
        <v>520287</v>
      </c>
    </row>
    <row r="96" spans="1:10" s="15" customFormat="1" ht="12.75" customHeight="1">
      <c r="A96" s="13" t="s">
        <v>196</v>
      </c>
      <c r="B96" s="13" t="s">
        <v>197</v>
      </c>
      <c r="C96" s="13" t="s">
        <v>39</v>
      </c>
      <c r="D96" s="14">
        <v>70865</v>
      </c>
      <c r="E96" s="14">
        <v>100338</v>
      </c>
      <c r="F96" s="14">
        <v>5124</v>
      </c>
      <c r="G96" s="14">
        <v>10783</v>
      </c>
      <c r="H96" s="14">
        <v>6661</v>
      </c>
      <c r="I96" s="14">
        <v>655</v>
      </c>
      <c r="J96" s="14">
        <v>194426</v>
      </c>
    </row>
    <row r="97" spans="1:10" s="15" customFormat="1" ht="12.75" customHeight="1">
      <c r="A97" s="13" t="s">
        <v>198</v>
      </c>
      <c r="B97" s="13" t="s">
        <v>199</v>
      </c>
      <c r="C97" s="13" t="s">
        <v>200</v>
      </c>
      <c r="D97" s="14">
        <v>232853</v>
      </c>
      <c r="E97" s="14">
        <v>174016</v>
      </c>
      <c r="F97" s="14">
        <v>13777</v>
      </c>
      <c r="G97" s="14">
        <v>27868</v>
      </c>
      <c r="H97" s="14">
        <v>404</v>
      </c>
      <c r="I97" s="14">
        <v>4633</v>
      </c>
      <c r="J97" s="14">
        <v>453551</v>
      </c>
    </row>
    <row r="98" spans="1:10" s="15" customFormat="1" ht="12.75" customHeight="1">
      <c r="A98" s="13" t="s">
        <v>201</v>
      </c>
      <c r="B98" s="13" t="s">
        <v>202</v>
      </c>
      <c r="C98" s="13" t="s">
        <v>30</v>
      </c>
      <c r="D98" s="14">
        <v>16167</v>
      </c>
      <c r="E98" s="14">
        <v>42915</v>
      </c>
      <c r="F98" s="14">
        <v>3791</v>
      </c>
      <c r="G98" s="14">
        <v>4068</v>
      </c>
      <c r="H98" s="14">
        <v>1291</v>
      </c>
      <c r="I98" s="14">
        <v>988</v>
      </c>
      <c r="J98" s="14">
        <v>69220</v>
      </c>
    </row>
    <row r="99" spans="1:10" s="15" customFormat="1" ht="12.75" customHeight="1">
      <c r="A99" s="13" t="s">
        <v>203</v>
      </c>
      <c r="B99" s="13" t="s">
        <v>204</v>
      </c>
      <c r="C99" s="13" t="s">
        <v>52</v>
      </c>
      <c r="D99" s="14">
        <v>203605</v>
      </c>
      <c r="E99" s="14">
        <v>177904</v>
      </c>
      <c r="F99" s="14">
        <v>404416</v>
      </c>
      <c r="G99" s="14">
        <v>182997</v>
      </c>
      <c r="H99" s="14">
        <v>10511</v>
      </c>
      <c r="I99" s="14">
        <v>36728</v>
      </c>
      <c r="J99" s="14">
        <v>1016161</v>
      </c>
    </row>
    <row r="100" spans="1:10" s="15" customFormat="1" ht="12.75" customHeight="1">
      <c r="A100" s="13" t="s">
        <v>205</v>
      </c>
      <c r="B100" s="13" t="s">
        <v>206</v>
      </c>
      <c r="C100" s="13" t="s">
        <v>52</v>
      </c>
      <c r="D100" s="14">
        <v>46938</v>
      </c>
      <c r="E100" s="14">
        <v>73275</v>
      </c>
      <c r="F100" s="14">
        <v>4042</v>
      </c>
      <c r="G100" s="14">
        <v>20098</v>
      </c>
      <c r="H100" s="14">
        <v>23640</v>
      </c>
      <c r="I100" s="14">
        <v>391</v>
      </c>
      <c r="J100" s="14">
        <v>168384</v>
      </c>
    </row>
    <row r="101" spans="1:10" s="15" customFormat="1" ht="12.75" customHeight="1">
      <c r="A101" s="13" t="s">
        <v>207</v>
      </c>
      <c r="B101" s="13" t="s">
        <v>208</v>
      </c>
      <c r="C101" s="13" t="s">
        <v>23</v>
      </c>
      <c r="D101" s="14">
        <v>95645</v>
      </c>
      <c r="E101" s="14">
        <v>82697</v>
      </c>
      <c r="F101" s="14">
        <v>10126</v>
      </c>
      <c r="G101" s="14">
        <v>19453</v>
      </c>
      <c r="H101" s="14">
        <v>2143</v>
      </c>
      <c r="I101" s="14">
        <v>606</v>
      </c>
      <c r="J101" s="14">
        <v>210670</v>
      </c>
    </row>
    <row r="102" spans="1:10" s="15" customFormat="1" ht="12.75" customHeight="1">
      <c r="A102" s="13" t="s">
        <v>209</v>
      </c>
      <c r="B102" s="13" t="s">
        <v>210</v>
      </c>
      <c r="C102" s="13" t="s">
        <v>23</v>
      </c>
      <c r="D102" s="14">
        <v>9209</v>
      </c>
      <c r="E102" s="14">
        <v>9543</v>
      </c>
      <c r="F102" s="14">
        <v>2</v>
      </c>
      <c r="G102" s="14">
        <v>2784</v>
      </c>
      <c r="H102" s="14">
        <v>2272</v>
      </c>
      <c r="I102" s="14">
        <v>154</v>
      </c>
      <c r="J102" s="14">
        <v>23964</v>
      </c>
    </row>
    <row r="103" spans="1:10" s="15" customFormat="1" ht="12.75" customHeight="1">
      <c r="A103" s="13" t="s">
        <v>211</v>
      </c>
      <c r="B103" s="13" t="s">
        <v>212</v>
      </c>
      <c r="C103" s="13" t="s">
        <v>52</v>
      </c>
      <c r="D103" s="14">
        <v>61000</v>
      </c>
      <c r="E103" s="14">
        <v>86053</v>
      </c>
      <c r="F103" s="14">
        <v>7476</v>
      </c>
      <c r="G103" s="14">
        <v>7367</v>
      </c>
      <c r="H103" s="14">
        <v>14070</v>
      </c>
      <c r="I103" s="14">
        <v>520</v>
      </c>
      <c r="J103" s="14">
        <v>176486</v>
      </c>
    </row>
    <row r="104" spans="1:10" s="15" customFormat="1" ht="12.75" customHeight="1">
      <c r="A104" s="13" t="s">
        <v>213</v>
      </c>
      <c r="B104" s="13" t="s">
        <v>214</v>
      </c>
      <c r="C104" s="13" t="s">
        <v>30</v>
      </c>
      <c r="D104" s="14">
        <v>95265</v>
      </c>
      <c r="E104" s="14">
        <v>88104</v>
      </c>
      <c r="F104" s="14">
        <v>80654</v>
      </c>
      <c r="G104" s="14">
        <v>26796</v>
      </c>
      <c r="H104" s="14">
        <v>15386</v>
      </c>
      <c r="I104" s="14">
        <v>1079</v>
      </c>
      <c r="J104" s="14">
        <v>307284</v>
      </c>
    </row>
    <row r="105" spans="1:10" s="15" customFormat="1" ht="12.75" customHeight="1">
      <c r="A105" s="13" t="s">
        <v>215</v>
      </c>
      <c r="B105" s="13" t="s">
        <v>216</v>
      </c>
      <c r="C105" s="13" t="s">
        <v>30</v>
      </c>
      <c r="D105" s="14">
        <v>8763</v>
      </c>
      <c r="E105" s="14">
        <v>5950</v>
      </c>
      <c r="F105" s="14">
        <v>44</v>
      </c>
      <c r="G105" s="14">
        <v>1521</v>
      </c>
      <c r="H105" s="14">
        <v>0</v>
      </c>
      <c r="I105" s="14">
        <v>111</v>
      </c>
      <c r="J105" s="14">
        <v>16389</v>
      </c>
    </row>
    <row r="106" spans="1:10" s="15" customFormat="1" ht="12.75" customHeight="1">
      <c r="A106" s="13" t="s">
        <v>217</v>
      </c>
      <c r="B106" s="13" t="s">
        <v>218</v>
      </c>
      <c r="C106" s="13" t="s">
        <v>52</v>
      </c>
      <c r="D106" s="14">
        <v>54529</v>
      </c>
      <c r="E106" s="14">
        <v>77678</v>
      </c>
      <c r="F106" s="14">
        <v>33959</v>
      </c>
      <c r="G106" s="14">
        <v>34796</v>
      </c>
      <c r="H106" s="14">
        <v>17718</v>
      </c>
      <c r="I106" s="14">
        <v>3326</v>
      </c>
      <c r="J106" s="14">
        <v>222006</v>
      </c>
    </row>
    <row r="107" spans="1:10" s="15" customFormat="1" ht="12.75" customHeight="1">
      <c r="A107" s="13" t="s">
        <v>219</v>
      </c>
      <c r="B107" s="13" t="s">
        <v>220</v>
      </c>
      <c r="C107" s="13" t="s">
        <v>30</v>
      </c>
      <c r="D107" s="14">
        <v>30043</v>
      </c>
      <c r="E107" s="14">
        <v>29491</v>
      </c>
      <c r="F107" s="14">
        <v>1812</v>
      </c>
      <c r="G107" s="14">
        <v>3904</v>
      </c>
      <c r="H107" s="14">
        <v>6845</v>
      </c>
      <c r="I107" s="14">
        <v>128</v>
      </c>
      <c r="J107" s="14">
        <v>72223</v>
      </c>
    </row>
    <row r="108" spans="1:10" s="15" customFormat="1" ht="12.75" customHeight="1">
      <c r="A108" s="13" t="s">
        <v>221</v>
      </c>
      <c r="B108" s="13" t="s">
        <v>222</v>
      </c>
      <c r="C108" s="13" t="s">
        <v>30</v>
      </c>
      <c r="D108" s="14">
        <v>4006</v>
      </c>
      <c r="E108" s="14">
        <v>2686</v>
      </c>
      <c r="F108" s="14">
        <v>0</v>
      </c>
      <c r="G108" s="14">
        <v>364</v>
      </c>
      <c r="H108" s="14">
        <v>25</v>
      </c>
      <c r="I108" s="14">
        <v>2</v>
      </c>
      <c r="J108" s="14">
        <v>7083</v>
      </c>
    </row>
    <row r="109" spans="1:10" s="15" customFormat="1" ht="12.75" customHeight="1">
      <c r="A109" s="13" t="s">
        <v>223</v>
      </c>
      <c r="B109" s="13" t="s">
        <v>224</v>
      </c>
      <c r="C109" s="13" t="s">
        <v>30</v>
      </c>
      <c r="D109" s="14">
        <v>5175</v>
      </c>
      <c r="E109" s="14">
        <v>7687</v>
      </c>
      <c r="F109" s="14">
        <v>171</v>
      </c>
      <c r="G109" s="14">
        <v>4784</v>
      </c>
      <c r="H109" s="14">
        <v>603</v>
      </c>
      <c r="I109" s="14">
        <v>1056</v>
      </c>
      <c r="J109" s="14">
        <v>19476</v>
      </c>
    </row>
    <row r="110" spans="1:10" s="15" customFormat="1" ht="12.75" customHeight="1">
      <c r="A110" s="13" t="s">
        <v>225</v>
      </c>
      <c r="B110" s="13" t="s">
        <v>226</v>
      </c>
      <c r="C110" s="13" t="s">
        <v>23</v>
      </c>
      <c r="D110" s="14">
        <v>4666</v>
      </c>
      <c r="E110" s="14">
        <v>5512</v>
      </c>
      <c r="F110" s="14">
        <v>79</v>
      </c>
      <c r="G110" s="14">
        <v>2572</v>
      </c>
      <c r="H110" s="14">
        <v>3234</v>
      </c>
      <c r="I110" s="14">
        <v>55</v>
      </c>
      <c r="J110" s="14">
        <v>16118</v>
      </c>
    </row>
    <row r="111" spans="1:10" s="15" customFormat="1" ht="12.75" customHeight="1">
      <c r="A111" s="13" t="s">
        <v>227</v>
      </c>
      <c r="B111" s="13" t="s">
        <v>228</v>
      </c>
      <c r="C111" s="13" t="s">
        <v>30</v>
      </c>
      <c r="D111" s="14">
        <v>13479</v>
      </c>
      <c r="E111" s="14">
        <v>11695</v>
      </c>
      <c r="F111" s="14">
        <v>1547</v>
      </c>
      <c r="G111" s="14">
        <v>3641</v>
      </c>
      <c r="H111" s="14">
        <v>896</v>
      </c>
      <c r="I111" s="14">
        <v>441</v>
      </c>
      <c r="J111" s="14">
        <v>31699</v>
      </c>
    </row>
    <row r="112" spans="1:10" s="15" customFormat="1" ht="12.75" customHeight="1">
      <c r="A112" s="13" t="s">
        <v>229</v>
      </c>
      <c r="B112" s="13" t="s">
        <v>230</v>
      </c>
      <c r="C112" s="13" t="s">
        <v>30</v>
      </c>
      <c r="D112" s="14">
        <v>5406</v>
      </c>
      <c r="E112" s="14">
        <v>6532</v>
      </c>
      <c r="F112" s="14">
        <v>192</v>
      </c>
      <c r="G112" s="14">
        <v>762</v>
      </c>
      <c r="H112" s="14">
        <v>263</v>
      </c>
      <c r="I112" s="14">
        <v>116</v>
      </c>
      <c r="J112" s="14">
        <v>13271</v>
      </c>
    </row>
    <row r="113" spans="1:10" s="15" customFormat="1" ht="12.75" customHeight="1">
      <c r="A113" s="13" t="s">
        <v>231</v>
      </c>
      <c r="B113" s="13" t="s">
        <v>232</v>
      </c>
      <c r="C113" s="13" t="s">
        <v>30</v>
      </c>
      <c r="D113" s="14">
        <v>4461</v>
      </c>
      <c r="E113" s="14">
        <v>7999</v>
      </c>
      <c r="F113" s="14">
        <v>37</v>
      </c>
      <c r="G113" s="14">
        <v>3411</v>
      </c>
      <c r="H113" s="14">
        <v>1298</v>
      </c>
      <c r="I113" s="14">
        <v>2474</v>
      </c>
      <c r="J113" s="14">
        <v>19680</v>
      </c>
    </row>
    <row r="114" spans="1:10" s="15" customFormat="1" ht="12.75" customHeight="1">
      <c r="A114" s="13" t="s">
        <v>233</v>
      </c>
      <c r="B114" s="13" t="s">
        <v>234</v>
      </c>
      <c r="C114" s="13" t="s">
        <v>52</v>
      </c>
      <c r="D114" s="14">
        <v>38637</v>
      </c>
      <c r="E114" s="14">
        <v>53740</v>
      </c>
      <c r="F114" s="14">
        <v>14451</v>
      </c>
      <c r="G114" s="14">
        <v>4706</v>
      </c>
      <c r="H114" s="14">
        <v>22120</v>
      </c>
      <c r="I114" s="14">
        <v>3105</v>
      </c>
      <c r="J114" s="14">
        <v>136759</v>
      </c>
    </row>
    <row r="115" spans="1:10" s="15" customFormat="1" ht="12.75" customHeight="1">
      <c r="A115" s="13" t="s">
        <v>235</v>
      </c>
      <c r="B115" s="13" t="s">
        <v>236</v>
      </c>
      <c r="C115" s="13" t="s">
        <v>42</v>
      </c>
      <c r="D115" s="14">
        <v>6019</v>
      </c>
      <c r="E115" s="14">
        <v>4945</v>
      </c>
      <c r="F115" s="14">
        <v>63</v>
      </c>
      <c r="G115" s="14">
        <v>2382</v>
      </c>
      <c r="H115" s="14">
        <v>905</v>
      </c>
      <c r="I115" s="14">
        <v>1059</v>
      </c>
      <c r="J115" s="14">
        <v>15373</v>
      </c>
    </row>
    <row r="116" spans="1:10" s="15" customFormat="1" ht="12.75" customHeight="1">
      <c r="A116" s="13" t="s">
        <v>237</v>
      </c>
      <c r="B116" s="13" t="s">
        <v>238</v>
      </c>
      <c r="C116" s="13" t="s">
        <v>30</v>
      </c>
      <c r="D116" s="14">
        <v>26775</v>
      </c>
      <c r="E116" s="14">
        <v>10053</v>
      </c>
      <c r="F116" s="14">
        <v>14325</v>
      </c>
      <c r="G116" s="14">
        <v>17878</v>
      </c>
      <c r="H116" s="14">
        <v>2451</v>
      </c>
      <c r="I116" s="14">
        <v>418</v>
      </c>
      <c r="J116" s="14">
        <v>71900</v>
      </c>
    </row>
    <row r="117" spans="1:10" s="15" customFormat="1" ht="12.75" customHeight="1">
      <c r="A117" s="13" t="s">
        <v>239</v>
      </c>
      <c r="B117" s="13" t="s">
        <v>240</v>
      </c>
      <c r="C117" s="13" t="s">
        <v>30</v>
      </c>
      <c r="D117" s="14">
        <v>31112</v>
      </c>
      <c r="E117" s="14">
        <v>18711</v>
      </c>
      <c r="F117" s="14">
        <v>14980</v>
      </c>
      <c r="G117" s="14">
        <v>18074</v>
      </c>
      <c r="H117" s="14">
        <v>1580</v>
      </c>
      <c r="I117" s="14">
        <v>303</v>
      </c>
      <c r="J117" s="14">
        <v>84760</v>
      </c>
    </row>
    <row r="118" spans="1:10" s="15" customFormat="1" ht="12.75" customHeight="1">
      <c r="A118" s="13" t="s">
        <v>241</v>
      </c>
      <c r="B118" s="13" t="s">
        <v>242</v>
      </c>
      <c r="C118" s="13" t="s">
        <v>30</v>
      </c>
      <c r="D118" s="14">
        <v>14487</v>
      </c>
      <c r="E118" s="14">
        <v>15748</v>
      </c>
      <c r="F118" s="14">
        <v>57</v>
      </c>
      <c r="G118" s="14">
        <v>1798</v>
      </c>
      <c r="H118" s="14">
        <v>4763</v>
      </c>
      <c r="I118" s="14">
        <v>48</v>
      </c>
      <c r="J118" s="14">
        <v>36901</v>
      </c>
    </row>
    <row r="119" spans="1:10" s="15" customFormat="1" ht="12.75" customHeight="1">
      <c r="A119" s="13" t="s">
        <v>243</v>
      </c>
      <c r="B119" s="13" t="s">
        <v>244</v>
      </c>
      <c r="C119" s="13" t="s">
        <v>42</v>
      </c>
      <c r="D119" s="14">
        <v>58455</v>
      </c>
      <c r="E119" s="14">
        <v>92443</v>
      </c>
      <c r="F119" s="14">
        <v>8470</v>
      </c>
      <c r="G119" s="14">
        <v>17181</v>
      </c>
      <c r="H119" s="14">
        <v>7717</v>
      </c>
      <c r="I119" s="14">
        <v>456</v>
      </c>
      <c r="J119" s="14">
        <v>184722</v>
      </c>
    </row>
    <row r="120" spans="1:10" s="15" customFormat="1" ht="12.75" customHeight="1">
      <c r="A120" s="13" t="s">
        <v>245</v>
      </c>
      <c r="B120" s="13" t="s">
        <v>246</v>
      </c>
      <c r="C120" s="13" t="s">
        <v>49</v>
      </c>
      <c r="D120" s="14">
        <v>119334</v>
      </c>
      <c r="E120" s="14">
        <v>159904</v>
      </c>
      <c r="F120" s="14">
        <v>108785</v>
      </c>
      <c r="G120" s="14">
        <v>43879</v>
      </c>
      <c r="H120" s="14">
        <v>16301</v>
      </c>
      <c r="I120" s="14">
        <v>2717</v>
      </c>
      <c r="J120" s="14">
        <v>450920</v>
      </c>
    </row>
    <row r="121" spans="1:10" s="15" customFormat="1" ht="12.75" customHeight="1">
      <c r="A121" s="13" t="s">
        <v>247</v>
      </c>
      <c r="B121" s="13" t="s">
        <v>248</v>
      </c>
      <c r="C121" s="13" t="s">
        <v>49</v>
      </c>
      <c r="D121" s="14">
        <v>86807</v>
      </c>
      <c r="E121" s="14">
        <v>126587</v>
      </c>
      <c r="F121" s="14">
        <v>6827</v>
      </c>
      <c r="G121" s="14">
        <v>15457</v>
      </c>
      <c r="H121" s="14">
        <v>4737</v>
      </c>
      <c r="I121" s="14">
        <v>2363</v>
      </c>
      <c r="J121" s="14">
        <v>242778</v>
      </c>
    </row>
    <row r="122" spans="1:10" s="15" customFormat="1" ht="12.75" customHeight="1">
      <c r="A122" s="13" t="s">
        <v>249</v>
      </c>
      <c r="B122" s="13" t="s">
        <v>250</v>
      </c>
      <c r="C122" s="13" t="s">
        <v>52</v>
      </c>
      <c r="D122" s="14">
        <v>109833</v>
      </c>
      <c r="E122" s="14">
        <v>135825</v>
      </c>
      <c r="F122" s="14">
        <v>94685</v>
      </c>
      <c r="G122" s="14">
        <v>66523</v>
      </c>
      <c r="H122" s="14">
        <v>26623</v>
      </c>
      <c r="I122" s="14">
        <v>4384</v>
      </c>
      <c r="J122" s="14">
        <v>437873</v>
      </c>
    </row>
    <row r="123" spans="1:10" s="15" customFormat="1" ht="12.75" customHeight="1">
      <c r="A123" s="13" t="s">
        <v>251</v>
      </c>
      <c r="B123" s="13" t="s">
        <v>252</v>
      </c>
      <c r="C123" s="13" t="s">
        <v>52</v>
      </c>
      <c r="D123" s="14">
        <v>38400</v>
      </c>
      <c r="E123" s="14">
        <v>46348</v>
      </c>
      <c r="F123" s="14">
        <v>335</v>
      </c>
      <c r="G123" s="14">
        <v>3736</v>
      </c>
      <c r="H123" s="14">
        <v>12993</v>
      </c>
      <c r="I123" s="14">
        <v>585</v>
      </c>
      <c r="J123" s="14">
        <v>102397</v>
      </c>
    </row>
    <row r="124" spans="1:10" s="15" customFormat="1" ht="12.75" customHeight="1">
      <c r="A124" s="13" t="s">
        <v>253</v>
      </c>
      <c r="B124" s="13" t="s">
        <v>254</v>
      </c>
      <c r="C124" s="13" t="s">
        <v>20</v>
      </c>
      <c r="D124" s="14">
        <v>52216</v>
      </c>
      <c r="E124" s="14">
        <v>50301</v>
      </c>
      <c r="F124" s="14">
        <v>1625</v>
      </c>
      <c r="G124" s="14">
        <v>7714</v>
      </c>
      <c r="H124" s="14">
        <v>6413</v>
      </c>
      <c r="I124" s="14">
        <v>418</v>
      </c>
      <c r="J124" s="14">
        <v>118687</v>
      </c>
    </row>
    <row r="125" spans="1:10" s="15" customFormat="1" ht="12.75" customHeight="1">
      <c r="A125" s="13" t="s">
        <v>255</v>
      </c>
      <c r="B125" s="13" t="s">
        <v>256</v>
      </c>
      <c r="C125" s="13" t="s">
        <v>93</v>
      </c>
      <c r="D125" s="14">
        <v>43749</v>
      </c>
      <c r="E125" s="14">
        <v>64967</v>
      </c>
      <c r="F125" s="14">
        <v>2038</v>
      </c>
      <c r="G125" s="14">
        <v>6747</v>
      </c>
      <c r="H125" s="14">
        <v>5164</v>
      </c>
      <c r="I125" s="14">
        <v>276</v>
      </c>
      <c r="J125" s="14">
        <v>122941</v>
      </c>
    </row>
    <row r="126" spans="1:10" s="15" customFormat="1" ht="12.75" customHeight="1">
      <c r="A126" s="13" t="s">
        <v>257</v>
      </c>
      <c r="B126" s="13" t="s">
        <v>258</v>
      </c>
      <c r="C126" s="13" t="s">
        <v>52</v>
      </c>
      <c r="D126" s="14">
        <v>46143</v>
      </c>
      <c r="E126" s="14">
        <v>82933</v>
      </c>
      <c r="F126" s="14">
        <v>27536</v>
      </c>
      <c r="G126" s="14">
        <v>17427</v>
      </c>
      <c r="H126" s="14">
        <v>26670</v>
      </c>
      <c r="I126" s="14">
        <v>10641</v>
      </c>
      <c r="J126" s="14">
        <v>211350</v>
      </c>
    </row>
    <row r="127" spans="1:10" s="15" customFormat="1" ht="12.75" customHeight="1">
      <c r="A127" s="13" t="s">
        <v>259</v>
      </c>
      <c r="B127" s="13" t="s">
        <v>260</v>
      </c>
      <c r="C127" s="13" t="s">
        <v>52</v>
      </c>
      <c r="D127" s="14">
        <v>48794</v>
      </c>
      <c r="E127" s="14">
        <v>69130</v>
      </c>
      <c r="F127" s="14">
        <v>24757</v>
      </c>
      <c r="G127" s="14">
        <v>15618</v>
      </c>
      <c r="H127" s="14">
        <v>23963</v>
      </c>
      <c r="I127" s="14">
        <v>437</v>
      </c>
      <c r="J127" s="14">
        <v>182699</v>
      </c>
    </row>
    <row r="128" spans="1:10" s="15" customFormat="1" ht="12.75" customHeight="1">
      <c r="A128" s="13" t="s">
        <v>261</v>
      </c>
      <c r="B128" s="13" t="s">
        <v>262</v>
      </c>
      <c r="C128" s="13" t="s">
        <v>93</v>
      </c>
      <c r="D128" s="14">
        <v>53707</v>
      </c>
      <c r="E128" s="14">
        <v>62910</v>
      </c>
      <c r="F128" s="14">
        <v>2862</v>
      </c>
      <c r="G128" s="14">
        <v>8081</v>
      </c>
      <c r="H128" s="14">
        <v>4073</v>
      </c>
      <c r="I128" s="14">
        <v>728</v>
      </c>
      <c r="J128" s="14">
        <v>132361</v>
      </c>
    </row>
    <row r="129" spans="1:19" s="15" customFormat="1" ht="12.75" customHeight="1">
      <c r="A129" s="13" t="s">
        <v>263</v>
      </c>
      <c r="B129" s="13" t="s">
        <v>264</v>
      </c>
      <c r="C129" s="13" t="s">
        <v>30</v>
      </c>
      <c r="D129" s="14">
        <v>8752</v>
      </c>
      <c r="E129" s="14">
        <v>6795</v>
      </c>
      <c r="F129" s="14">
        <v>13</v>
      </c>
      <c r="G129" s="14">
        <v>5649</v>
      </c>
      <c r="H129" s="14">
        <v>1445</v>
      </c>
      <c r="I129" s="14">
        <v>83</v>
      </c>
      <c r="J129" s="14">
        <v>22737</v>
      </c>
    </row>
    <row r="130" spans="1:19" s="15" customFormat="1" ht="12.75" customHeight="1">
      <c r="A130" s="13" t="s">
        <v>265</v>
      </c>
      <c r="B130" s="13" t="s">
        <v>266</v>
      </c>
      <c r="C130" s="13" t="s">
        <v>20</v>
      </c>
      <c r="D130" s="14">
        <v>84330</v>
      </c>
      <c r="E130" s="14">
        <v>166105</v>
      </c>
      <c r="F130" s="14">
        <v>85450</v>
      </c>
      <c r="G130" s="14">
        <v>65834</v>
      </c>
      <c r="H130" s="14">
        <v>36168</v>
      </c>
      <c r="I130" s="14">
        <v>2201</v>
      </c>
      <c r="J130" s="14">
        <v>440088</v>
      </c>
    </row>
    <row r="131" spans="1:19" s="15" customFormat="1" ht="12.75" customHeight="1">
      <c r="A131" s="13" t="s">
        <v>267</v>
      </c>
      <c r="B131" s="13" t="s">
        <v>268</v>
      </c>
      <c r="C131" s="13" t="s">
        <v>23</v>
      </c>
      <c r="D131" s="14">
        <v>70831</v>
      </c>
      <c r="E131" s="14">
        <v>79765</v>
      </c>
      <c r="F131" s="14">
        <v>9804</v>
      </c>
      <c r="G131" s="14">
        <v>40565</v>
      </c>
      <c r="H131" s="14">
        <v>18191</v>
      </c>
      <c r="I131" s="14">
        <v>1515</v>
      </c>
      <c r="J131" s="14">
        <v>220671</v>
      </c>
    </row>
    <row r="132" spans="1:19" s="15" customFormat="1" ht="12.75" customHeight="1">
      <c r="A132" s="13" t="s">
        <v>269</v>
      </c>
      <c r="B132" s="13" t="s">
        <v>270</v>
      </c>
      <c r="C132" s="13" t="s">
        <v>30</v>
      </c>
      <c r="D132" s="14">
        <v>27448</v>
      </c>
      <c r="E132" s="14">
        <v>42978</v>
      </c>
      <c r="F132" s="14">
        <v>456</v>
      </c>
      <c r="G132" s="14">
        <v>4634</v>
      </c>
      <c r="H132" s="14">
        <v>551</v>
      </c>
      <c r="I132" s="14">
        <v>336</v>
      </c>
      <c r="J132" s="14">
        <v>76403</v>
      </c>
    </row>
    <row r="133" spans="1:19" s="15" customFormat="1" ht="12.75" customHeight="1">
      <c r="A133" s="13" t="s">
        <v>271</v>
      </c>
      <c r="B133" s="13" t="s">
        <v>272</v>
      </c>
      <c r="C133" s="13" t="s">
        <v>30</v>
      </c>
      <c r="D133" s="14">
        <v>56244</v>
      </c>
      <c r="E133" s="14">
        <v>81161</v>
      </c>
      <c r="F133" s="14">
        <v>4949</v>
      </c>
      <c r="G133" s="14">
        <v>12156</v>
      </c>
      <c r="H133" s="14">
        <v>10180</v>
      </c>
      <c r="I133" s="14">
        <v>728</v>
      </c>
      <c r="J133" s="14">
        <v>165418</v>
      </c>
    </row>
    <row r="134" spans="1:19" s="15" customFormat="1" ht="12.75" customHeight="1">
      <c r="A134" s="13" t="s">
        <v>273</v>
      </c>
      <c r="B134" s="13" t="s">
        <v>274</v>
      </c>
      <c r="C134" s="13" t="s">
        <v>52</v>
      </c>
      <c r="D134" s="14">
        <v>16271</v>
      </c>
      <c r="E134" s="14">
        <v>22018</v>
      </c>
      <c r="F134" s="14">
        <v>737</v>
      </c>
      <c r="G134" s="14">
        <v>1946</v>
      </c>
      <c r="H134" s="14">
        <v>7382</v>
      </c>
      <c r="I134" s="14">
        <v>95</v>
      </c>
      <c r="J134" s="14">
        <v>48449</v>
      </c>
    </row>
    <row r="135" spans="1:19" s="15" customFormat="1" ht="12.75" customHeight="1">
      <c r="A135" s="13" t="s">
        <v>275</v>
      </c>
      <c r="B135" s="13" t="s">
        <v>276</v>
      </c>
      <c r="C135" s="13" t="s">
        <v>20</v>
      </c>
      <c r="D135" s="14">
        <v>60953</v>
      </c>
      <c r="E135" s="14">
        <v>61818</v>
      </c>
      <c r="F135" s="14">
        <v>3627</v>
      </c>
      <c r="G135" s="14">
        <v>25596</v>
      </c>
      <c r="H135" s="14">
        <v>7655</v>
      </c>
      <c r="I135" s="14">
        <v>752</v>
      </c>
      <c r="J135" s="14">
        <v>160401</v>
      </c>
    </row>
    <row r="136" spans="1:19" s="15" customFormat="1" ht="12.75" customHeight="1">
      <c r="A136" s="13" t="s">
        <v>277</v>
      </c>
      <c r="B136" s="13" t="s">
        <v>278</v>
      </c>
      <c r="C136" s="13" t="s">
        <v>20</v>
      </c>
      <c r="D136" s="14">
        <v>25747</v>
      </c>
      <c r="E136" s="14">
        <v>32283</v>
      </c>
      <c r="F136" s="14">
        <v>1295</v>
      </c>
      <c r="G136" s="14">
        <v>5573</v>
      </c>
      <c r="H136" s="14">
        <v>5892</v>
      </c>
      <c r="I136" s="14">
        <v>81</v>
      </c>
      <c r="J136" s="14">
        <v>70871</v>
      </c>
    </row>
    <row r="137" spans="1:19" s="15" customFormat="1" ht="12.75" customHeight="1">
      <c r="A137" s="13" t="s">
        <v>279</v>
      </c>
      <c r="B137" s="13" t="s">
        <v>280</v>
      </c>
      <c r="C137" s="13" t="s">
        <v>17</v>
      </c>
      <c r="D137" s="14">
        <v>8696</v>
      </c>
      <c r="E137" s="14">
        <v>4938</v>
      </c>
      <c r="F137" s="14">
        <v>20</v>
      </c>
      <c r="G137" s="14">
        <v>1299</v>
      </c>
      <c r="H137" s="14">
        <v>2087</v>
      </c>
      <c r="I137" s="14">
        <v>4</v>
      </c>
      <c r="J137" s="14">
        <v>17044</v>
      </c>
    </row>
    <row r="138" spans="1:19" s="15" customFormat="1" ht="12.75" customHeight="1">
      <c r="A138" s="13" t="s">
        <v>281</v>
      </c>
      <c r="B138" s="13" t="s">
        <v>282</v>
      </c>
      <c r="C138" s="13" t="s">
        <v>49</v>
      </c>
      <c r="D138" s="14">
        <v>63199</v>
      </c>
      <c r="E138" s="14">
        <v>85354</v>
      </c>
      <c r="F138" s="14">
        <v>46611</v>
      </c>
      <c r="G138" s="14">
        <v>36512</v>
      </c>
      <c r="H138" s="14">
        <v>30049</v>
      </c>
      <c r="I138" s="14">
        <v>1487</v>
      </c>
      <c r="J138" s="14">
        <v>263212</v>
      </c>
    </row>
    <row r="139" spans="1:19" s="15" customFormat="1" ht="12.75" customHeight="1">
      <c r="A139" s="13" t="s">
        <v>283</v>
      </c>
      <c r="B139" s="13" t="s">
        <v>284</v>
      </c>
      <c r="C139" s="13" t="s">
        <v>49</v>
      </c>
      <c r="D139" s="14">
        <v>15185</v>
      </c>
      <c r="E139" s="14">
        <v>19803</v>
      </c>
      <c r="F139" s="14">
        <v>120</v>
      </c>
      <c r="G139" s="14">
        <v>2133</v>
      </c>
      <c r="H139" s="14">
        <v>7191</v>
      </c>
      <c r="I139" s="14">
        <v>80</v>
      </c>
      <c r="J139" s="14">
        <v>44512</v>
      </c>
    </row>
    <row r="140" spans="1:19" s="15" customFormat="1">
      <c r="A140" s="24"/>
      <c r="B140" s="24" t="s">
        <v>285</v>
      </c>
      <c r="C140" s="24"/>
      <c r="D140" s="77">
        <f>SUM(D11:D139)</f>
        <v>6689993</v>
      </c>
      <c r="E140" s="77">
        <f t="shared" ref="E140:J140" si="0">SUM(E11:E139)</f>
        <v>8376158</v>
      </c>
      <c r="F140" s="77">
        <f t="shared" si="0"/>
        <v>3647453</v>
      </c>
      <c r="G140" s="77">
        <f t="shared" si="0"/>
        <v>2945115</v>
      </c>
      <c r="H140" s="77">
        <f t="shared" si="0"/>
        <v>1382479</v>
      </c>
      <c r="I140" s="77">
        <f t="shared" si="0"/>
        <v>236094</v>
      </c>
      <c r="J140" s="77">
        <f t="shared" si="0"/>
        <v>23277292</v>
      </c>
      <c r="R140" s="18"/>
      <c r="S140" s="18"/>
    </row>
    <row r="141" spans="1:19" s="15" customFormat="1">
      <c r="A141" s="19"/>
      <c r="B141" s="19"/>
      <c r="C141" s="19"/>
      <c r="D141" s="18"/>
      <c r="E141" s="18"/>
      <c r="F141" s="18"/>
      <c r="G141" s="18"/>
      <c r="H141" s="18"/>
      <c r="I141" s="18"/>
      <c r="J141" s="18"/>
    </row>
    <row r="142" spans="1:19" s="15" customFormat="1">
      <c r="A142" s="19" t="s">
        <v>286</v>
      </c>
      <c r="B142" s="19"/>
      <c r="C142" s="19"/>
      <c r="D142" s="78"/>
      <c r="E142" s="78"/>
      <c r="F142" s="78"/>
      <c r="G142" s="78"/>
      <c r="H142" s="78"/>
      <c r="I142" s="78"/>
      <c r="J142" s="78"/>
    </row>
    <row r="143" spans="1:19" s="15" customFormat="1">
      <c r="A143" s="13" t="s">
        <v>287</v>
      </c>
      <c r="B143" s="13" t="s">
        <v>288</v>
      </c>
      <c r="C143" s="13" t="s">
        <v>289</v>
      </c>
      <c r="D143" s="79">
        <v>75702</v>
      </c>
      <c r="E143" s="79">
        <v>45740</v>
      </c>
      <c r="F143" s="79">
        <v>57808</v>
      </c>
      <c r="G143" s="79">
        <v>23214</v>
      </c>
      <c r="H143" s="79">
        <v>13631</v>
      </c>
      <c r="I143" s="79">
        <v>919</v>
      </c>
      <c r="J143" s="79">
        <v>217014</v>
      </c>
    </row>
    <row r="144" spans="1:19" s="15" customFormat="1">
      <c r="A144" s="13" t="s">
        <v>290</v>
      </c>
      <c r="B144" s="13" t="s">
        <v>291</v>
      </c>
      <c r="C144" s="13" t="s">
        <v>289</v>
      </c>
      <c r="D144" s="79">
        <v>18021</v>
      </c>
      <c r="E144" s="79">
        <v>9984</v>
      </c>
      <c r="F144" s="79">
        <v>1017</v>
      </c>
      <c r="G144" s="79">
        <v>3313</v>
      </c>
      <c r="H144" s="79">
        <v>1244</v>
      </c>
      <c r="I144" s="79">
        <v>585</v>
      </c>
      <c r="J144" s="79">
        <v>34164</v>
      </c>
    </row>
    <row r="145" spans="1:10" s="15" customFormat="1">
      <c r="A145" s="13" t="s">
        <v>292</v>
      </c>
      <c r="B145" s="13" t="s">
        <v>293</v>
      </c>
      <c r="C145" s="13" t="s">
        <v>289</v>
      </c>
      <c r="D145" s="14">
        <v>78455</v>
      </c>
      <c r="E145" s="14">
        <v>37815</v>
      </c>
      <c r="F145" s="14">
        <v>66742</v>
      </c>
      <c r="G145" s="14">
        <v>31967</v>
      </c>
      <c r="H145" s="14">
        <v>7537</v>
      </c>
      <c r="I145" s="14">
        <v>800</v>
      </c>
      <c r="J145" s="14">
        <v>223316</v>
      </c>
    </row>
    <row r="146" spans="1:10" s="15" customFormat="1">
      <c r="A146" s="13" t="s">
        <v>294</v>
      </c>
      <c r="B146" s="13" t="s">
        <v>295</v>
      </c>
      <c r="C146" s="13" t="s">
        <v>289</v>
      </c>
      <c r="D146" s="14">
        <v>189438</v>
      </c>
      <c r="E146" s="14">
        <v>150298</v>
      </c>
      <c r="F146" s="14">
        <v>193119</v>
      </c>
      <c r="G146" s="14">
        <v>111710</v>
      </c>
      <c r="H146" s="14">
        <v>43668</v>
      </c>
      <c r="I146" s="14">
        <v>12654</v>
      </c>
      <c r="J146" s="14">
        <v>700887</v>
      </c>
    </row>
    <row r="147" spans="1:10" s="15" customFormat="1">
      <c r="A147" s="13" t="s">
        <v>296</v>
      </c>
      <c r="B147" s="13" t="s">
        <v>297</v>
      </c>
      <c r="C147" s="13" t="s">
        <v>289</v>
      </c>
      <c r="D147" s="14">
        <v>51566</v>
      </c>
      <c r="E147" s="14">
        <v>31774</v>
      </c>
      <c r="F147" s="14">
        <v>5566</v>
      </c>
      <c r="G147" s="14">
        <v>8277</v>
      </c>
      <c r="H147" s="14">
        <v>6161</v>
      </c>
      <c r="I147" s="14">
        <v>627</v>
      </c>
      <c r="J147" s="14">
        <v>103971</v>
      </c>
    </row>
    <row r="148" spans="1:10" s="15" customFormat="1">
      <c r="A148" s="13" t="s">
        <v>298</v>
      </c>
      <c r="B148" s="13" t="s">
        <v>299</v>
      </c>
      <c r="C148" s="13" t="s">
        <v>289</v>
      </c>
      <c r="D148" s="14">
        <v>143891</v>
      </c>
      <c r="E148" s="14">
        <v>99604</v>
      </c>
      <c r="F148" s="14">
        <v>124351</v>
      </c>
      <c r="G148" s="14">
        <v>42039</v>
      </c>
      <c r="H148" s="14">
        <v>23002</v>
      </c>
      <c r="I148" s="14">
        <v>6952</v>
      </c>
      <c r="J148" s="14">
        <v>439839</v>
      </c>
    </row>
    <row r="149" spans="1:10" s="15" customFormat="1">
      <c r="A149" s="13" t="s">
        <v>300</v>
      </c>
      <c r="B149" s="13" t="s">
        <v>301</v>
      </c>
      <c r="C149" s="13" t="s">
        <v>289</v>
      </c>
      <c r="D149" s="14">
        <v>61528</v>
      </c>
      <c r="E149" s="14">
        <v>30934</v>
      </c>
      <c r="F149" s="14">
        <v>3858</v>
      </c>
      <c r="G149" s="14">
        <v>7051</v>
      </c>
      <c r="H149" s="14">
        <v>2593</v>
      </c>
      <c r="I149" s="14">
        <v>1471</v>
      </c>
      <c r="J149" s="14">
        <v>107435</v>
      </c>
    </row>
    <row r="150" spans="1:10" s="15" customFormat="1">
      <c r="A150" s="13" t="s">
        <v>302</v>
      </c>
      <c r="B150" s="13" t="s">
        <v>303</v>
      </c>
      <c r="C150" s="13" t="s">
        <v>289</v>
      </c>
      <c r="D150" s="14">
        <v>10511</v>
      </c>
      <c r="E150" s="14">
        <v>6803</v>
      </c>
      <c r="F150" s="14">
        <v>2625</v>
      </c>
      <c r="G150" s="14">
        <v>2270</v>
      </c>
      <c r="H150" s="14">
        <v>820</v>
      </c>
      <c r="I150" s="14">
        <v>274</v>
      </c>
      <c r="J150" s="14">
        <v>23303</v>
      </c>
    </row>
    <row r="151" spans="1:10" s="15" customFormat="1">
      <c r="A151" s="13" t="s">
        <v>304</v>
      </c>
      <c r="B151" s="13" t="s">
        <v>305</v>
      </c>
      <c r="C151" s="13" t="s">
        <v>289</v>
      </c>
      <c r="D151" s="14">
        <v>38574</v>
      </c>
      <c r="E151" s="14">
        <v>73034</v>
      </c>
      <c r="F151" s="14">
        <v>22748</v>
      </c>
      <c r="G151" s="14">
        <v>7195</v>
      </c>
      <c r="H151" s="14">
        <v>13584</v>
      </c>
      <c r="I151" s="14">
        <v>512</v>
      </c>
      <c r="J151" s="14">
        <v>155647</v>
      </c>
    </row>
    <row r="152" spans="1:10" s="15" customFormat="1">
      <c r="A152" s="13" t="s">
        <v>306</v>
      </c>
      <c r="B152" s="13" t="s">
        <v>307</v>
      </c>
      <c r="C152" s="13" t="s">
        <v>289</v>
      </c>
      <c r="D152" s="14">
        <v>12751</v>
      </c>
      <c r="E152" s="14">
        <v>11413</v>
      </c>
      <c r="F152" s="14">
        <v>3490</v>
      </c>
      <c r="G152" s="14">
        <v>1824</v>
      </c>
      <c r="H152" s="14">
        <v>4719</v>
      </c>
      <c r="I152" s="14">
        <v>149</v>
      </c>
      <c r="J152" s="14">
        <v>34346</v>
      </c>
    </row>
    <row r="153" spans="1:10" s="15" customFormat="1">
      <c r="A153" s="13" t="s">
        <v>308</v>
      </c>
      <c r="B153" s="13" t="s">
        <v>309</v>
      </c>
      <c r="C153" s="13" t="s">
        <v>289</v>
      </c>
      <c r="D153" s="14">
        <v>38138</v>
      </c>
      <c r="E153" s="14">
        <v>32168</v>
      </c>
      <c r="F153" s="14">
        <v>3179</v>
      </c>
      <c r="G153" s="14">
        <v>6421</v>
      </c>
      <c r="H153" s="14">
        <v>7573</v>
      </c>
      <c r="I153" s="14">
        <v>1190</v>
      </c>
      <c r="J153" s="14">
        <v>88669</v>
      </c>
    </row>
    <row r="154" spans="1:10" s="15" customFormat="1">
      <c r="A154" s="13" t="s">
        <v>310</v>
      </c>
      <c r="B154" s="13" t="s">
        <v>311</v>
      </c>
      <c r="C154" s="13" t="s">
        <v>289</v>
      </c>
      <c r="D154" s="14">
        <v>9476</v>
      </c>
      <c r="E154" s="14">
        <v>4812</v>
      </c>
      <c r="F154" s="14">
        <v>46</v>
      </c>
      <c r="G154" s="14">
        <v>1365</v>
      </c>
      <c r="H154" s="14">
        <v>601</v>
      </c>
      <c r="I154" s="14">
        <v>243</v>
      </c>
      <c r="J154" s="14">
        <v>16543</v>
      </c>
    </row>
    <row r="155" spans="1:10" s="80" customFormat="1">
      <c r="A155" s="13" t="s">
        <v>312</v>
      </c>
      <c r="B155" s="13" t="s">
        <v>313</v>
      </c>
      <c r="C155" s="13" t="s">
        <v>289</v>
      </c>
      <c r="D155" s="14">
        <v>7100</v>
      </c>
      <c r="E155" s="14">
        <v>3151</v>
      </c>
      <c r="F155" s="14">
        <v>16274</v>
      </c>
      <c r="G155" s="14">
        <v>27048</v>
      </c>
      <c r="H155" s="14">
        <v>958</v>
      </c>
      <c r="I155" s="14">
        <v>9</v>
      </c>
      <c r="J155" s="14">
        <v>54540</v>
      </c>
    </row>
    <row r="156" spans="1:10" s="81" customFormat="1">
      <c r="A156" s="13" t="s">
        <v>314</v>
      </c>
      <c r="B156" s="13" t="s">
        <v>315</v>
      </c>
      <c r="C156" s="13" t="s">
        <v>289</v>
      </c>
      <c r="D156" s="14">
        <v>40147</v>
      </c>
      <c r="E156" s="14">
        <v>57249</v>
      </c>
      <c r="F156" s="14">
        <v>37290</v>
      </c>
      <c r="G156" s="14">
        <v>11306</v>
      </c>
      <c r="H156" s="14">
        <v>22438</v>
      </c>
      <c r="I156" s="14">
        <v>1812</v>
      </c>
      <c r="J156" s="14">
        <v>170242</v>
      </c>
    </row>
    <row r="157" spans="1:10" s="81" customFormat="1">
      <c r="A157" s="13" t="s">
        <v>316</v>
      </c>
      <c r="B157" s="13" t="s">
        <v>317</v>
      </c>
      <c r="C157" s="13" t="s">
        <v>289</v>
      </c>
      <c r="D157" s="14">
        <v>36822</v>
      </c>
      <c r="E157" s="14">
        <v>28142</v>
      </c>
      <c r="F157" s="14">
        <v>8255</v>
      </c>
      <c r="G157" s="14">
        <v>14294</v>
      </c>
      <c r="H157" s="14">
        <v>10665</v>
      </c>
      <c r="I157" s="14">
        <v>908</v>
      </c>
      <c r="J157" s="14">
        <v>99086</v>
      </c>
    </row>
    <row r="158" spans="1:10" s="81" customFormat="1">
      <c r="A158" s="13" t="s">
        <v>318</v>
      </c>
      <c r="B158" s="13" t="s">
        <v>319</v>
      </c>
      <c r="C158" s="13" t="s">
        <v>289</v>
      </c>
      <c r="D158" s="14">
        <v>85745</v>
      </c>
      <c r="E158" s="14">
        <v>70782</v>
      </c>
      <c r="F158" s="14">
        <v>42535</v>
      </c>
      <c r="G158" s="14">
        <v>13697</v>
      </c>
      <c r="H158" s="14">
        <v>9531</v>
      </c>
      <c r="I158" s="14">
        <v>2675</v>
      </c>
      <c r="J158" s="14">
        <v>224965</v>
      </c>
    </row>
    <row r="159" spans="1:10" s="81" customFormat="1">
      <c r="A159" s="13" t="s">
        <v>320</v>
      </c>
      <c r="B159" s="13" t="s">
        <v>321</v>
      </c>
      <c r="C159" s="13" t="s">
        <v>289</v>
      </c>
      <c r="D159" s="14">
        <v>25836</v>
      </c>
      <c r="E159" s="14">
        <v>8423</v>
      </c>
      <c r="F159" s="14">
        <v>18295</v>
      </c>
      <c r="G159" s="14">
        <v>4867</v>
      </c>
      <c r="H159" s="14">
        <v>0</v>
      </c>
      <c r="I159" s="14">
        <v>7</v>
      </c>
      <c r="J159" s="14">
        <v>57428</v>
      </c>
    </row>
    <row r="160" spans="1:10" s="81" customFormat="1">
      <c r="A160" s="13" t="s">
        <v>322</v>
      </c>
      <c r="B160" s="13" t="s">
        <v>323</v>
      </c>
      <c r="C160" s="13" t="s">
        <v>289</v>
      </c>
      <c r="D160" s="14">
        <v>61445</v>
      </c>
      <c r="E160" s="14">
        <v>20072</v>
      </c>
      <c r="F160" s="14">
        <v>2688</v>
      </c>
      <c r="G160" s="14">
        <v>1998</v>
      </c>
      <c r="H160" s="14">
        <v>3929</v>
      </c>
      <c r="I160" s="14">
        <v>885</v>
      </c>
      <c r="J160" s="14">
        <v>91017</v>
      </c>
    </row>
    <row r="161" spans="1:10" s="81" customFormat="1">
      <c r="A161" s="24"/>
      <c r="B161" s="24" t="s">
        <v>324</v>
      </c>
      <c r="C161" s="24"/>
      <c r="D161" s="77">
        <f t="shared" ref="D161:J161" si="1">SUM(D143:D160)</f>
        <v>985146</v>
      </c>
      <c r="E161" s="77">
        <f t="shared" si="1"/>
        <v>722198</v>
      </c>
      <c r="F161" s="77">
        <f t="shared" si="1"/>
        <v>609886</v>
      </c>
      <c r="G161" s="77">
        <f t="shared" si="1"/>
        <v>319856</v>
      </c>
      <c r="H161" s="77">
        <f t="shared" si="1"/>
        <v>172654</v>
      </c>
      <c r="I161" s="77">
        <f t="shared" si="1"/>
        <v>32672</v>
      </c>
      <c r="J161" s="77">
        <f t="shared" si="1"/>
        <v>2842412</v>
      </c>
    </row>
    <row r="162" spans="1:10" s="81" customFormat="1">
      <c r="A162" s="82"/>
      <c r="B162" s="82"/>
      <c r="C162" s="82"/>
      <c r="D162" s="83"/>
      <c r="E162" s="83"/>
      <c r="F162" s="83"/>
      <c r="G162" s="83"/>
      <c r="H162" s="83"/>
      <c r="I162" s="83"/>
      <c r="J162" s="83"/>
    </row>
    <row r="163" spans="1:10" s="81" customFormat="1">
      <c r="A163" s="19" t="s">
        <v>325</v>
      </c>
      <c r="B163" s="19"/>
      <c r="C163" s="19"/>
      <c r="D163" s="78"/>
      <c r="E163" s="78"/>
      <c r="F163" s="78"/>
      <c r="G163" s="78"/>
      <c r="H163" s="78"/>
      <c r="I163" s="78"/>
      <c r="J163" s="78"/>
    </row>
    <row r="164" spans="1:10" s="81" customFormat="1">
      <c r="A164" s="21" t="s">
        <v>326</v>
      </c>
      <c r="B164" s="21" t="s">
        <v>327</v>
      </c>
      <c r="C164" s="21" t="s">
        <v>328</v>
      </c>
      <c r="D164" s="14">
        <v>38667</v>
      </c>
      <c r="E164" s="14">
        <v>34389</v>
      </c>
      <c r="F164" s="14">
        <v>20586</v>
      </c>
      <c r="G164" s="14">
        <v>16394</v>
      </c>
      <c r="H164" s="14">
        <v>9464</v>
      </c>
      <c r="I164" s="14">
        <v>892</v>
      </c>
      <c r="J164" s="14">
        <v>120392</v>
      </c>
    </row>
    <row r="165" spans="1:10" s="81" customFormat="1">
      <c r="A165" s="21" t="s">
        <v>329</v>
      </c>
      <c r="B165" s="21" t="s">
        <v>330</v>
      </c>
      <c r="C165" s="21" t="s">
        <v>328</v>
      </c>
      <c r="D165" s="14">
        <v>37292</v>
      </c>
      <c r="E165" s="14">
        <v>49734</v>
      </c>
      <c r="F165" s="14">
        <v>18750</v>
      </c>
      <c r="G165" s="14">
        <v>14239</v>
      </c>
      <c r="H165" s="14">
        <v>11225</v>
      </c>
      <c r="I165" s="14">
        <v>923</v>
      </c>
      <c r="J165" s="14">
        <v>132163</v>
      </c>
    </row>
    <row r="166" spans="1:10" s="81" customFormat="1">
      <c r="A166" s="21" t="s">
        <v>331</v>
      </c>
      <c r="B166" s="21" t="s">
        <v>332</v>
      </c>
      <c r="C166" s="21" t="s">
        <v>328</v>
      </c>
      <c r="D166" s="79">
        <v>117368</v>
      </c>
      <c r="E166" s="79">
        <v>123847</v>
      </c>
      <c r="F166" s="79">
        <v>87654</v>
      </c>
      <c r="G166" s="79">
        <v>73622</v>
      </c>
      <c r="H166" s="79">
        <v>19870</v>
      </c>
      <c r="I166" s="79">
        <v>3178</v>
      </c>
      <c r="J166" s="79">
        <v>425539</v>
      </c>
    </row>
    <row r="167" spans="1:10" s="81" customFormat="1">
      <c r="A167" s="21" t="s">
        <v>333</v>
      </c>
      <c r="B167" s="21" t="s">
        <v>334</v>
      </c>
      <c r="C167" s="21" t="s">
        <v>328</v>
      </c>
      <c r="D167" s="79">
        <v>26621</v>
      </c>
      <c r="E167" s="79">
        <v>36002</v>
      </c>
      <c r="F167" s="79">
        <v>2578</v>
      </c>
      <c r="G167" s="79">
        <v>12017</v>
      </c>
      <c r="H167" s="79">
        <v>4653</v>
      </c>
      <c r="I167" s="79">
        <v>359</v>
      </c>
      <c r="J167" s="79">
        <v>82230</v>
      </c>
    </row>
    <row r="168" spans="1:10" s="81" customFormat="1">
      <c r="A168" s="21" t="s">
        <v>335</v>
      </c>
      <c r="B168" s="21" t="s">
        <v>336</v>
      </c>
      <c r="C168" s="21" t="s">
        <v>328</v>
      </c>
      <c r="D168" s="79">
        <v>59795</v>
      </c>
      <c r="E168" s="79">
        <v>60787</v>
      </c>
      <c r="F168" s="79">
        <v>4190</v>
      </c>
      <c r="G168" s="79">
        <v>16661</v>
      </c>
      <c r="H168" s="79">
        <v>7077</v>
      </c>
      <c r="I168" s="79">
        <v>382</v>
      </c>
      <c r="J168" s="79">
        <v>148892</v>
      </c>
    </row>
    <row r="169" spans="1:10" s="81" customFormat="1">
      <c r="A169" s="21" t="s">
        <v>337</v>
      </c>
      <c r="B169" s="21" t="s">
        <v>338</v>
      </c>
      <c r="C169" s="21" t="s">
        <v>328</v>
      </c>
      <c r="D169" s="14">
        <v>16297</v>
      </c>
      <c r="E169" s="14">
        <v>19666</v>
      </c>
      <c r="F169" s="14">
        <v>1785</v>
      </c>
      <c r="G169" s="14">
        <v>7423</v>
      </c>
      <c r="H169" s="14">
        <v>3125</v>
      </c>
      <c r="I169" s="14">
        <v>31</v>
      </c>
      <c r="J169" s="14">
        <v>48327</v>
      </c>
    </row>
    <row r="170" spans="1:10" s="81" customFormat="1">
      <c r="A170" s="21" t="s">
        <v>339</v>
      </c>
      <c r="B170" s="21" t="s">
        <v>340</v>
      </c>
      <c r="C170" s="21" t="s">
        <v>328</v>
      </c>
      <c r="D170" s="14">
        <v>21043</v>
      </c>
      <c r="E170" s="14">
        <v>18664</v>
      </c>
      <c r="F170" s="14">
        <v>398</v>
      </c>
      <c r="G170" s="14">
        <v>6706</v>
      </c>
      <c r="H170" s="14">
        <v>3191</v>
      </c>
      <c r="I170" s="14">
        <v>451</v>
      </c>
      <c r="J170" s="14">
        <v>50453</v>
      </c>
    </row>
    <row r="171" spans="1:10" s="81" customFormat="1">
      <c r="A171" s="21" t="s">
        <v>341</v>
      </c>
      <c r="B171" s="21" t="s">
        <v>342</v>
      </c>
      <c r="C171" s="21" t="s">
        <v>328</v>
      </c>
      <c r="D171" s="14">
        <v>46849</v>
      </c>
      <c r="E171" s="14">
        <v>60801</v>
      </c>
      <c r="F171" s="14">
        <v>33131</v>
      </c>
      <c r="G171" s="14">
        <v>22671</v>
      </c>
      <c r="H171" s="14">
        <v>14784</v>
      </c>
      <c r="I171" s="14">
        <v>589</v>
      </c>
      <c r="J171" s="14">
        <v>178825</v>
      </c>
    </row>
    <row r="172" spans="1:10" s="81" customFormat="1">
      <c r="A172" s="21" t="s">
        <v>343</v>
      </c>
      <c r="B172" s="21" t="s">
        <v>344</v>
      </c>
      <c r="C172" s="21" t="s">
        <v>328</v>
      </c>
      <c r="D172" s="14">
        <v>15859</v>
      </c>
      <c r="E172" s="14">
        <v>16421</v>
      </c>
      <c r="F172" s="14">
        <v>178</v>
      </c>
      <c r="G172" s="14">
        <v>3047</v>
      </c>
      <c r="H172" s="14">
        <v>1491</v>
      </c>
      <c r="I172" s="14">
        <v>421</v>
      </c>
      <c r="J172" s="14">
        <v>37417</v>
      </c>
    </row>
    <row r="173" spans="1:10" s="81" customFormat="1">
      <c r="A173" s="21" t="s">
        <v>345</v>
      </c>
      <c r="B173" s="21" t="s">
        <v>346</v>
      </c>
      <c r="C173" s="21" t="s">
        <v>328</v>
      </c>
      <c r="D173" s="14">
        <v>14714</v>
      </c>
      <c r="E173" s="14">
        <v>10975</v>
      </c>
      <c r="F173" s="14">
        <v>199</v>
      </c>
      <c r="G173" s="14">
        <v>5839</v>
      </c>
      <c r="H173" s="14">
        <v>4979</v>
      </c>
      <c r="I173" s="14">
        <v>384</v>
      </c>
      <c r="J173" s="14">
        <v>37090</v>
      </c>
    </row>
    <row r="174" spans="1:10" s="81" customFormat="1" ht="15.75" customHeight="1">
      <c r="A174" s="21" t="s">
        <v>347</v>
      </c>
      <c r="B174" s="21" t="s">
        <v>348</v>
      </c>
      <c r="C174" s="21" t="s">
        <v>328</v>
      </c>
      <c r="D174" s="14">
        <v>553</v>
      </c>
      <c r="E174" s="14">
        <v>892</v>
      </c>
      <c r="F174" s="14">
        <v>494</v>
      </c>
      <c r="G174" s="14">
        <v>10235</v>
      </c>
      <c r="H174" s="14">
        <v>992</v>
      </c>
      <c r="I174" s="14">
        <v>845</v>
      </c>
      <c r="J174" s="14">
        <v>14011</v>
      </c>
    </row>
    <row r="175" spans="1:10" s="82" customFormat="1">
      <c r="A175" s="24"/>
      <c r="B175" s="24" t="s">
        <v>324</v>
      </c>
      <c r="C175" s="24"/>
      <c r="D175" s="77">
        <f t="shared" ref="D175:J175" si="2">SUM(D164:D174)</f>
        <v>395058</v>
      </c>
      <c r="E175" s="77">
        <f t="shared" si="2"/>
        <v>432178</v>
      </c>
      <c r="F175" s="77">
        <f t="shared" si="2"/>
        <v>169943</v>
      </c>
      <c r="G175" s="77">
        <f t="shared" si="2"/>
        <v>188854</v>
      </c>
      <c r="H175" s="77">
        <f t="shared" si="2"/>
        <v>80851</v>
      </c>
      <c r="I175" s="77">
        <f t="shared" si="2"/>
        <v>8455</v>
      </c>
      <c r="J175" s="77">
        <f t="shared" si="2"/>
        <v>1275339</v>
      </c>
    </row>
    <row r="176" spans="1:10" s="82" customFormat="1">
      <c r="D176" s="83"/>
      <c r="E176" s="83"/>
      <c r="F176" s="83"/>
      <c r="G176" s="83"/>
      <c r="H176" s="83"/>
      <c r="I176" s="83"/>
      <c r="J176" s="83"/>
    </row>
    <row r="177" spans="1:11" s="82" customFormat="1">
      <c r="A177" s="19" t="s">
        <v>349</v>
      </c>
      <c r="D177" s="83"/>
      <c r="E177" s="83"/>
      <c r="F177" s="83"/>
      <c r="G177" s="83"/>
      <c r="H177" s="83"/>
      <c r="I177" s="83"/>
      <c r="J177" s="83"/>
    </row>
    <row r="178" spans="1:11" s="82" customFormat="1">
      <c r="A178" s="13" t="s">
        <v>350</v>
      </c>
      <c r="B178" s="13" t="s">
        <v>351</v>
      </c>
      <c r="C178" s="13" t="s">
        <v>352</v>
      </c>
      <c r="D178" s="14">
        <v>99781</v>
      </c>
      <c r="E178" s="14">
        <v>70086</v>
      </c>
      <c r="F178" s="14">
        <v>61096</v>
      </c>
      <c r="G178" s="14">
        <v>40391</v>
      </c>
      <c r="H178" s="14">
        <v>8380</v>
      </c>
      <c r="I178" s="14">
        <v>6580</v>
      </c>
      <c r="J178" s="14">
        <v>286314</v>
      </c>
    </row>
    <row r="179" spans="1:11" s="82" customFormat="1">
      <c r="A179" s="13" t="s">
        <v>353</v>
      </c>
      <c r="B179" s="13" t="s">
        <v>354</v>
      </c>
      <c r="C179" s="13" t="s">
        <v>352</v>
      </c>
      <c r="D179" s="14">
        <v>5409</v>
      </c>
      <c r="E179" s="14">
        <v>3115</v>
      </c>
      <c r="F179" s="14">
        <v>2</v>
      </c>
      <c r="G179" s="14">
        <v>1002</v>
      </c>
      <c r="H179" s="14">
        <v>0</v>
      </c>
      <c r="I179" s="14">
        <v>1</v>
      </c>
      <c r="J179" s="14">
        <v>9529</v>
      </c>
    </row>
    <row r="180" spans="1:11" s="4" customFormat="1">
      <c r="A180" s="11" t="s">
        <v>355</v>
      </c>
      <c r="B180" s="11" t="s">
        <v>356</v>
      </c>
      <c r="C180" s="11" t="s">
        <v>352</v>
      </c>
      <c r="D180" s="12">
        <v>6733</v>
      </c>
      <c r="E180" s="12">
        <v>3134</v>
      </c>
      <c r="F180" s="12">
        <v>138</v>
      </c>
      <c r="G180" s="12">
        <v>721</v>
      </c>
      <c r="H180" s="12">
        <v>1627</v>
      </c>
      <c r="I180" s="12">
        <v>98</v>
      </c>
      <c r="J180" s="12">
        <v>12451</v>
      </c>
    </row>
    <row r="181" spans="1:11" s="4" customFormat="1">
      <c r="A181" s="22" t="s">
        <v>357</v>
      </c>
      <c r="B181" s="22" t="s">
        <v>358</v>
      </c>
      <c r="C181" s="22" t="s">
        <v>352</v>
      </c>
      <c r="D181" s="23">
        <v>88808</v>
      </c>
      <c r="E181" s="23">
        <v>55287</v>
      </c>
      <c r="F181" s="23">
        <v>20431</v>
      </c>
      <c r="G181" s="23">
        <v>30416</v>
      </c>
      <c r="H181" s="23">
        <v>3341</v>
      </c>
      <c r="I181" s="23">
        <v>1096</v>
      </c>
      <c r="J181" s="23">
        <v>199379</v>
      </c>
    </row>
    <row r="182" spans="1:11" s="4" customFormat="1">
      <c r="A182" s="16"/>
      <c r="B182" s="16" t="s">
        <v>359</v>
      </c>
      <c r="C182" s="16"/>
      <c r="D182" s="17">
        <f>SUM(D178:D181)</f>
        <v>200731</v>
      </c>
      <c r="E182" s="17">
        <f t="shared" ref="E182:J182" si="3">SUM(E178:E181)</f>
        <v>131622</v>
      </c>
      <c r="F182" s="17">
        <f t="shared" si="3"/>
        <v>81667</v>
      </c>
      <c r="G182" s="17">
        <f t="shared" si="3"/>
        <v>72530</v>
      </c>
      <c r="H182" s="17">
        <f t="shared" si="3"/>
        <v>13348</v>
      </c>
      <c r="I182" s="17">
        <f t="shared" si="3"/>
        <v>7775</v>
      </c>
      <c r="J182" s="17">
        <f t="shared" si="3"/>
        <v>507673</v>
      </c>
    </row>
    <row r="183" spans="1:11" s="4" customFormat="1">
      <c r="D183" s="20"/>
      <c r="E183" s="20"/>
      <c r="F183" s="20"/>
      <c r="G183" s="20"/>
      <c r="H183" s="20"/>
      <c r="I183" s="20"/>
      <c r="J183" s="20"/>
    </row>
    <row r="184" spans="1:11">
      <c r="A184" s="16"/>
      <c r="B184" s="24" t="s">
        <v>360</v>
      </c>
      <c r="C184" s="24"/>
      <c r="D184" s="17">
        <f t="shared" ref="D184:J184" si="4">D182+D175+D161+D140</f>
        <v>8270928</v>
      </c>
      <c r="E184" s="17">
        <f t="shared" si="4"/>
        <v>9662156</v>
      </c>
      <c r="F184" s="17">
        <f t="shared" si="4"/>
        <v>4508949</v>
      </c>
      <c r="G184" s="17">
        <f t="shared" si="4"/>
        <v>3526355</v>
      </c>
      <c r="H184" s="17">
        <f t="shared" si="4"/>
        <v>1649332</v>
      </c>
      <c r="I184" s="17">
        <f t="shared" si="4"/>
        <v>284996</v>
      </c>
      <c r="J184" s="17">
        <f t="shared" si="4"/>
        <v>27902716</v>
      </c>
    </row>
    <row r="185" spans="1:11">
      <c r="A185" s="3"/>
      <c r="B185" s="4"/>
      <c r="C185" s="4"/>
      <c r="D185" s="20"/>
      <c r="E185" s="20"/>
      <c r="F185" s="20"/>
      <c r="G185" s="20"/>
      <c r="H185" s="20"/>
      <c r="I185" s="20"/>
      <c r="J185" s="20"/>
    </row>
    <row r="186" spans="1:11" s="15" customFormat="1" ht="12.75" customHeight="1">
      <c r="A186" s="13" t="s">
        <v>57</v>
      </c>
      <c r="B186" s="13" t="s">
        <v>58</v>
      </c>
      <c r="C186" s="13" t="s">
        <v>52</v>
      </c>
      <c r="D186" s="14">
        <v>61</v>
      </c>
      <c r="E186" s="14">
        <v>14303</v>
      </c>
      <c r="F186" s="14">
        <v>813</v>
      </c>
      <c r="G186" s="14">
        <v>1379</v>
      </c>
      <c r="H186" s="14">
        <v>3013</v>
      </c>
      <c r="I186" s="14">
        <v>31</v>
      </c>
      <c r="J186" s="14">
        <v>19600</v>
      </c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 spans="1:11">
      <c r="A188" s="3" t="s">
        <v>361</v>
      </c>
      <c r="B188" s="4"/>
      <c r="C188" s="4"/>
      <c r="D188" s="4"/>
      <c r="E188" s="4"/>
      <c r="F188" s="4"/>
      <c r="G188" s="4"/>
      <c r="H188" s="4"/>
      <c r="I188" s="4"/>
      <c r="J188" s="4"/>
      <c r="K188" s="25" t="s">
        <v>362</v>
      </c>
    </row>
    <row r="189" spans="1:11">
      <c r="A189" s="11"/>
      <c r="B189" s="26"/>
      <c r="C189" s="11" t="s">
        <v>363</v>
      </c>
      <c r="D189" s="26"/>
      <c r="E189" s="26"/>
      <c r="F189" s="26"/>
      <c r="G189" s="26"/>
      <c r="H189" s="26"/>
      <c r="I189" s="26"/>
      <c r="J189" s="27">
        <f>SUMIF(C$11:C$139,"NE ",J$11:J$139)</f>
        <v>1120168</v>
      </c>
      <c r="K189" s="28">
        <f>J189/1000000</f>
        <v>1.1201680000000001</v>
      </c>
    </row>
    <row r="190" spans="1:11">
      <c r="A190" s="11"/>
      <c r="B190" s="26"/>
      <c r="C190" s="11" t="s">
        <v>364</v>
      </c>
      <c r="D190" s="26"/>
      <c r="E190" s="26"/>
      <c r="F190" s="26"/>
      <c r="G190" s="26"/>
      <c r="H190" s="26"/>
      <c r="I190" s="26"/>
      <c r="J190" s="27">
        <f>SUMIF(C$11:C$139,"NW ",J$11:J$139)</f>
        <v>2608898</v>
      </c>
      <c r="K190" s="28">
        <f t="shared" ref="K190:K199" si="5">J190/1000000</f>
        <v>2.6088979999999999</v>
      </c>
    </row>
    <row r="191" spans="1:11">
      <c r="A191" s="13"/>
      <c r="B191" s="29"/>
      <c r="C191" s="13" t="s">
        <v>365</v>
      </c>
      <c r="D191" s="30"/>
      <c r="E191" s="30"/>
      <c r="F191" s="30"/>
      <c r="G191" s="30"/>
      <c r="H191" s="30"/>
      <c r="I191" s="30"/>
      <c r="J191" s="27">
        <f>SUMIF(C$11:C$139,"YH ",J$11:J$139)</f>
        <v>2190899</v>
      </c>
      <c r="K191" s="28">
        <f t="shared" si="5"/>
        <v>2.1908989999999999</v>
      </c>
    </row>
    <row r="192" spans="1:11">
      <c r="A192" s="13"/>
      <c r="B192" s="26"/>
      <c r="C192" s="13" t="s">
        <v>366</v>
      </c>
      <c r="D192" s="31"/>
      <c r="E192" s="31"/>
      <c r="F192" s="31"/>
      <c r="G192" s="31"/>
      <c r="H192" s="31"/>
      <c r="I192" s="31"/>
      <c r="J192" s="27">
        <f>SUMIF(C$11:C$139,"EM ",J$11:J$139)</f>
        <v>1695095</v>
      </c>
      <c r="K192" s="28">
        <f t="shared" si="5"/>
        <v>1.695095</v>
      </c>
    </row>
    <row r="193" spans="1:11">
      <c r="A193" s="13"/>
      <c r="B193" s="29"/>
      <c r="C193" s="13" t="s">
        <v>367</v>
      </c>
      <c r="D193" s="30"/>
      <c r="E193" s="30"/>
      <c r="F193" s="30"/>
      <c r="G193" s="30"/>
      <c r="H193" s="30"/>
      <c r="I193" s="30"/>
      <c r="J193" s="27">
        <f>SUMIF(C$11:C$139,"WM ",J$11:J$139)</f>
        <v>1952832</v>
      </c>
      <c r="K193" s="28">
        <f t="shared" si="5"/>
        <v>1.9528319999999999</v>
      </c>
    </row>
    <row r="194" spans="1:11">
      <c r="A194" s="13"/>
      <c r="B194" s="26"/>
      <c r="C194" s="13" t="s">
        <v>368</v>
      </c>
      <c r="D194" s="26"/>
      <c r="E194" s="26"/>
      <c r="F194" s="26"/>
      <c r="G194" s="26"/>
      <c r="H194" s="26"/>
      <c r="I194" s="26"/>
      <c r="J194" s="27">
        <f>SUMIF(C$11:C$139,"SW ",J$11:J$139)</f>
        <v>1674131</v>
      </c>
      <c r="K194" s="28">
        <f t="shared" si="5"/>
        <v>1.674131</v>
      </c>
    </row>
    <row r="195" spans="1:11">
      <c r="A195" s="13"/>
      <c r="B195" s="26"/>
      <c r="C195" s="13" t="s">
        <v>369</v>
      </c>
      <c r="D195" s="26"/>
      <c r="E195" s="26"/>
      <c r="F195" s="26"/>
      <c r="G195" s="26"/>
      <c r="H195" s="26"/>
      <c r="I195" s="26"/>
      <c r="J195" s="27">
        <f>SUMIF(C$11:C$139,"SE ",J$11:J$139)</f>
        <v>3330992</v>
      </c>
      <c r="K195" s="28">
        <f t="shared" si="5"/>
        <v>3.3309920000000002</v>
      </c>
    </row>
    <row r="196" spans="1:11">
      <c r="A196" s="13"/>
      <c r="B196" s="26"/>
      <c r="C196" s="13" t="s">
        <v>370</v>
      </c>
      <c r="D196" s="26"/>
      <c r="E196" s="26"/>
      <c r="F196" s="26"/>
      <c r="G196" s="26"/>
      <c r="H196" s="26"/>
      <c r="I196" s="26"/>
      <c r="J196" s="27">
        <f>SUMIF(C$11:C$139,"GL ",J$11:J$139)</f>
        <v>5795588</v>
      </c>
      <c r="K196" s="28">
        <f t="shared" si="5"/>
        <v>5.7955880000000004</v>
      </c>
    </row>
    <row r="197" spans="1:11">
      <c r="A197" s="13"/>
      <c r="B197" s="26"/>
      <c r="C197" s="13" t="s">
        <v>371</v>
      </c>
      <c r="D197" s="26"/>
      <c r="E197" s="26"/>
      <c r="F197" s="26"/>
      <c r="G197" s="26"/>
      <c r="H197" s="26"/>
      <c r="I197" s="26"/>
      <c r="J197" s="27">
        <f>SUMIF(C$11:C$139,"ES ",J$11:J$139)</f>
        <v>2455138</v>
      </c>
      <c r="K197" s="28">
        <f t="shared" si="5"/>
        <v>2.4551379999999998</v>
      </c>
    </row>
    <row r="198" spans="1:11">
      <c r="A198" s="32"/>
      <c r="B198" s="33"/>
      <c r="C198" s="32" t="s">
        <v>372</v>
      </c>
      <c r="D198" s="33"/>
      <c r="E198" s="33"/>
      <c r="F198" s="33"/>
      <c r="G198" s="33"/>
      <c r="H198" s="33"/>
      <c r="I198" s="33"/>
      <c r="J198" s="34">
        <f>SUMIF(C$11:C$139,"OU ",J$11:J$139)</f>
        <v>453551</v>
      </c>
      <c r="K198" s="35">
        <f t="shared" si="5"/>
        <v>0.45355099999999998</v>
      </c>
    </row>
    <row r="199" spans="1:11">
      <c r="A199" s="36" t="s">
        <v>373</v>
      </c>
      <c r="B199" s="37"/>
      <c r="C199" s="37"/>
      <c r="D199" s="37"/>
      <c r="E199" s="37"/>
      <c r="F199" s="37"/>
      <c r="G199" s="37"/>
      <c r="H199" s="37"/>
      <c r="I199" s="37"/>
      <c r="J199" s="38">
        <f>SUM(J189:J198)</f>
        <v>23277292</v>
      </c>
      <c r="K199" s="39">
        <f t="shared" si="5"/>
        <v>23.277291999999999</v>
      </c>
    </row>
  </sheetData>
  <mergeCells count="9">
    <mergeCell ref="H7:H9"/>
    <mergeCell ref="I7:I9"/>
    <mergeCell ref="J7:J9"/>
    <mergeCell ref="A7:A9"/>
    <mergeCell ref="B7:B9"/>
    <mergeCell ref="D7:D9"/>
    <mergeCell ref="E7:E9"/>
    <mergeCell ref="F7:F9"/>
    <mergeCell ref="G7:G9"/>
  </mergeCells>
  <pageMargins left="0.35433070866141736" right="0.35433070866141736" top="0.39370078740157483" bottom="0.39370078740157483" header="0.51181102362204722" footer="0.51181102362204722"/>
  <pageSetup paperSize="9" scale="63" orientation="portrait" r:id="rId1"/>
  <headerFooter alignWithMargins="0"/>
  <rowBreaks count="2" manualBreakCount="2">
    <brk id="83" max="8" man="1"/>
    <brk id="1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J193"/>
  <sheetViews>
    <sheetView tabSelected="1" zoomScale="85" zoomScaleNormal="85" workbookViewId="0">
      <pane xSplit="2" ySplit="7" topLeftCell="D8" activePane="bottomRight" state="frozen"/>
      <selection pane="topRight" activeCell="C1" sqref="C1"/>
      <selection pane="bottomLeft" activeCell="A7" sqref="A7"/>
      <selection pane="bottomRight" activeCell="K171" sqref="K171"/>
    </sheetView>
  </sheetViews>
  <sheetFormatPr defaultRowHeight="15"/>
  <cols>
    <col min="1" max="1" width="9" style="43" customWidth="1"/>
    <col min="2" max="2" width="71.85546875" style="43" bestFit="1" customWidth="1"/>
    <col min="3" max="4" width="13.7109375" style="43" customWidth="1"/>
    <col min="5" max="5" width="9.140625" style="43"/>
    <col min="6" max="6" width="12.42578125" style="43" bestFit="1" customWidth="1"/>
    <col min="7" max="7" width="14.28515625" style="43" customWidth="1"/>
    <col min="8" max="8" width="9.7109375" style="43" bestFit="1" customWidth="1"/>
    <col min="9" max="10" width="12.7109375" style="43" customWidth="1"/>
    <col min="11" max="16384" width="9.140625" style="43"/>
  </cols>
  <sheetData>
    <row r="1" spans="1:10" ht="18.75">
      <c r="A1" s="76" t="s">
        <v>391</v>
      </c>
    </row>
    <row r="2" spans="1:10">
      <c r="B2" s="40"/>
      <c r="C2" s="41" t="s">
        <v>374</v>
      </c>
      <c r="D2" s="42">
        <v>6382979</v>
      </c>
    </row>
    <row r="3" spans="1:10">
      <c r="B3" s="44"/>
      <c r="C3" s="45" t="s">
        <v>375</v>
      </c>
      <c r="D3" s="46">
        <v>0</v>
      </c>
    </row>
    <row r="4" spans="1:10">
      <c r="B4" s="47"/>
      <c r="C4" s="48" t="s">
        <v>376</v>
      </c>
      <c r="D4" s="49">
        <f>D2*(1+D3)</f>
        <v>6382979</v>
      </c>
    </row>
    <row r="5" spans="1:10">
      <c r="B5" s="50"/>
      <c r="C5" s="51"/>
      <c r="D5" s="52"/>
      <c r="F5" s="54" t="s">
        <v>377</v>
      </c>
      <c r="G5" s="91" t="s">
        <v>378</v>
      </c>
      <c r="H5" s="91"/>
    </row>
    <row r="6" spans="1:10" ht="30">
      <c r="B6" s="50"/>
      <c r="C6" s="90" t="s">
        <v>388</v>
      </c>
      <c r="D6" s="90"/>
      <c r="F6" s="54" t="s">
        <v>389</v>
      </c>
      <c r="G6" s="55" t="s">
        <v>390</v>
      </c>
      <c r="H6" s="54" t="s">
        <v>379</v>
      </c>
      <c r="J6" s="54"/>
    </row>
    <row r="7" spans="1:10">
      <c r="B7" s="50"/>
      <c r="C7" s="51" t="s">
        <v>380</v>
      </c>
      <c r="D7" s="52" t="s">
        <v>381</v>
      </c>
      <c r="F7" s="43" t="s">
        <v>382</v>
      </c>
      <c r="G7" s="53" t="s">
        <v>383</v>
      </c>
    </row>
    <row r="9" spans="1:10">
      <c r="A9" s="54" t="s">
        <v>14</v>
      </c>
    </row>
    <row r="10" spans="1:10">
      <c r="A10" s="43" t="s">
        <v>15</v>
      </c>
      <c r="B10" s="43" t="s">
        <v>16</v>
      </c>
      <c r="C10" s="56">
        <f>D10/1.2</f>
        <v>30645.801680530549</v>
      </c>
      <c r="D10" s="94">
        <f>'Incomes FY 11-12'!J11/'Incomes FY 11-12'!J$184*D$4</f>
        <v>36774.962016636659</v>
      </c>
      <c r="F10" s="56">
        <f>IFERROR(VLOOKUP(A10,'[1]Charges AY 2012-13'!$A:$D,4,FALSE),0)</f>
        <v>38558.596739566354</v>
      </c>
      <c r="G10" s="60">
        <f t="shared" ref="G10:G41" si="0">D10-F10</f>
        <v>-1783.6347229296953</v>
      </c>
      <c r="H10" s="61">
        <f t="shared" ref="H10" si="1">IF(F10&gt;0.01,G10/F10,"n/a")</f>
        <v>-4.6257770607596928E-2</v>
      </c>
    </row>
    <row r="11" spans="1:10">
      <c r="A11" s="43" t="s">
        <v>18</v>
      </c>
      <c r="B11" s="43" t="s">
        <v>19</v>
      </c>
      <c r="C11" s="56">
        <f t="shared" ref="C11:C75" si="2">D11/1.2</f>
        <v>21213.523417099135</v>
      </c>
      <c r="D11" s="94">
        <f>'Incomes FY 11-12'!J12/'Incomes FY 11-12'!J$184*D$4</f>
        <v>25456.228100518962</v>
      </c>
      <c r="F11" s="56">
        <f>IFERROR(VLOOKUP(A11,'[1]Charges AY 2012-13'!$A:$D,4,FALSE),0)</f>
        <v>25941.627333227887</v>
      </c>
      <c r="G11" s="60">
        <f t="shared" si="0"/>
        <v>-485.39923270892541</v>
      </c>
      <c r="H11" s="61">
        <f t="shared" ref="H11:H74" si="3">IF(F11&gt;0.01,G11/F11,"n/a")</f>
        <v>-1.8711209843308152E-2</v>
      </c>
    </row>
    <row r="12" spans="1:10">
      <c r="A12" s="43" t="s">
        <v>21</v>
      </c>
      <c r="B12" s="43" t="s">
        <v>22</v>
      </c>
      <c r="C12" s="56">
        <f t="shared" si="2"/>
        <v>37487.39174088525</v>
      </c>
      <c r="D12" s="94">
        <f>'Incomes FY 11-12'!J13/'Incomes FY 11-12'!J$184*D$4</f>
        <v>44984.8700890623</v>
      </c>
      <c r="F12" s="56">
        <f>IFERROR(VLOOKUP(A12,'[1]Charges AY 2012-13'!$A:$D,4,FALSE),0)</f>
        <v>44139.001111507343</v>
      </c>
      <c r="G12" s="60">
        <f t="shared" si="0"/>
        <v>845.86897755495738</v>
      </c>
      <c r="H12" s="61">
        <f t="shared" si="3"/>
        <v>1.9163754417959256E-2</v>
      </c>
    </row>
    <row r="13" spans="1:10">
      <c r="A13" s="43" t="s">
        <v>24</v>
      </c>
      <c r="B13" s="43" t="s">
        <v>25</v>
      </c>
      <c r="C13" s="56">
        <f t="shared" si="2"/>
        <v>9281.1071269310614</v>
      </c>
      <c r="D13" s="94">
        <f>'Incomes FY 11-12'!J14/'Incomes FY 11-12'!J$184*D$4</f>
        <v>11137.328552317273</v>
      </c>
      <c r="F13" s="56">
        <f>IFERROR(VLOOKUP(A13,'[1]Charges AY 2012-13'!$A:$D,4,FALSE),0)</f>
        <v>11948.674156414136</v>
      </c>
      <c r="G13" s="60">
        <f t="shared" si="0"/>
        <v>-811.3456040968631</v>
      </c>
      <c r="H13" s="61">
        <f t="shared" si="3"/>
        <v>-6.7902563370290492E-2</v>
      </c>
    </row>
    <row r="14" spans="1:10">
      <c r="A14" s="43" t="s">
        <v>26</v>
      </c>
      <c r="B14" s="43" t="s">
        <v>27</v>
      </c>
      <c r="C14" s="56">
        <f t="shared" si="2"/>
        <v>24831.908463648011</v>
      </c>
      <c r="D14" s="94">
        <f>'Incomes FY 11-12'!J15/'Incomes FY 11-12'!J$184*D$4</f>
        <v>29798.29015637761</v>
      </c>
      <c r="F14" s="56">
        <f>IFERROR(VLOOKUP(A14,'[1]Charges AY 2012-13'!$A:$D,4,FALSE),0)</f>
        <v>28839.581700618219</v>
      </c>
      <c r="G14" s="60">
        <f t="shared" si="0"/>
        <v>958.70845575939165</v>
      </c>
      <c r="H14" s="61">
        <f t="shared" si="3"/>
        <v>3.3242800319078149E-2</v>
      </c>
    </row>
    <row r="15" spans="1:10">
      <c r="A15" s="43" t="s">
        <v>28</v>
      </c>
      <c r="B15" s="43" t="s">
        <v>29</v>
      </c>
      <c r="C15" s="56">
        <f t="shared" si="2"/>
        <v>17844.294329448072</v>
      </c>
      <c r="D15" s="94">
        <f>'Incomes FY 11-12'!J16/'Incomes FY 11-12'!J$184*D$4</f>
        <v>21413.153195337687</v>
      </c>
      <c r="F15" s="56">
        <f>IFERROR(VLOOKUP(A15,'[1]Charges AY 2012-13'!$A:$D,4,FALSE),0)</f>
        <v>20534.089901801301</v>
      </c>
      <c r="G15" s="60">
        <f t="shared" si="0"/>
        <v>879.06329353638648</v>
      </c>
      <c r="H15" s="61">
        <f t="shared" si="3"/>
        <v>4.2809946666264129E-2</v>
      </c>
    </row>
    <row r="16" spans="1:10">
      <c r="A16" s="43" t="s">
        <v>31</v>
      </c>
      <c r="B16" s="43" t="s">
        <v>32</v>
      </c>
      <c r="C16" s="56">
        <f t="shared" si="2"/>
        <v>89977.708593642528</v>
      </c>
      <c r="D16" s="94">
        <f>'Incomes FY 11-12'!J17/'Incomes FY 11-12'!J$184*D$4</f>
        <v>107973.25031237103</v>
      </c>
      <c r="F16" s="56">
        <f>IFERROR(VLOOKUP(A16,'[1]Charges AY 2012-13'!$A:$D,4,FALSE),0)</f>
        <v>109084.13741726091</v>
      </c>
      <c r="G16" s="60">
        <f t="shared" si="0"/>
        <v>-1110.8871048898727</v>
      </c>
      <c r="H16" s="61">
        <f t="shared" si="3"/>
        <v>-1.0183763938477931E-2</v>
      </c>
    </row>
    <row r="17" spans="1:8">
      <c r="A17" s="43" t="s">
        <v>33</v>
      </c>
      <c r="B17" s="43" t="s">
        <v>34</v>
      </c>
      <c r="C17" s="56">
        <f t="shared" si="2"/>
        <v>31029.353164312033</v>
      </c>
      <c r="D17" s="94">
        <f>'Incomes FY 11-12'!J18/'Incomes FY 11-12'!J$184*D$4</f>
        <v>37235.22379717444</v>
      </c>
      <c r="F17" s="56">
        <f>IFERROR(VLOOKUP(A17,'[1]Charges AY 2012-13'!$A:$D,4,FALSE),0)</f>
        <v>39293.628824434592</v>
      </c>
      <c r="G17" s="60">
        <f t="shared" si="0"/>
        <v>-2058.4050272601526</v>
      </c>
      <c r="H17" s="61">
        <f t="shared" si="3"/>
        <v>-5.2385210754068642E-2</v>
      </c>
    </row>
    <row r="18" spans="1:8">
      <c r="A18" s="43" t="s">
        <v>35</v>
      </c>
      <c r="B18" s="43" t="s">
        <v>36</v>
      </c>
      <c r="C18" s="56">
        <f t="shared" si="2"/>
        <v>7971.2749971782923</v>
      </c>
      <c r="D18" s="94">
        <f>'Incomes FY 11-12'!J19/'Incomes FY 11-12'!J$184*D$4</f>
        <v>9565.5299966139501</v>
      </c>
      <c r="F18" s="56">
        <f>IFERROR(VLOOKUP(A18,'[1]Charges AY 2012-13'!$A:$D,4,FALSE),0)</f>
        <v>10246.88486534468</v>
      </c>
      <c r="G18" s="60">
        <f t="shared" si="0"/>
        <v>-681.35486873073023</v>
      </c>
      <c r="H18" s="61">
        <f t="shared" si="3"/>
        <v>-6.6493854247850093E-2</v>
      </c>
    </row>
    <row r="19" spans="1:8">
      <c r="A19" s="43" t="s">
        <v>37</v>
      </c>
      <c r="B19" s="43" t="s">
        <v>38</v>
      </c>
      <c r="C19" s="56">
        <f t="shared" si="2"/>
        <v>3048.7767793823373</v>
      </c>
      <c r="D19" s="94">
        <f>'Incomes FY 11-12'!J20/'Incomes FY 11-12'!J$184*D$4</f>
        <v>3658.5321352588044</v>
      </c>
      <c r="F19" s="56">
        <f>IFERROR(VLOOKUP(A19,'[1]Charges AY 2012-13'!$A:$D,4,FALSE),0)</f>
        <v>3786.6202077023386</v>
      </c>
      <c r="G19" s="60">
        <f t="shared" si="0"/>
        <v>-128.0880724435342</v>
      </c>
      <c r="H19" s="61">
        <f t="shared" si="3"/>
        <v>-3.3826490489590459E-2</v>
      </c>
    </row>
    <row r="20" spans="1:8">
      <c r="A20" s="43" t="s">
        <v>40</v>
      </c>
      <c r="B20" s="43" t="s">
        <v>41</v>
      </c>
      <c r="C20" s="56">
        <f t="shared" si="2"/>
        <v>9665.8024024136812</v>
      </c>
      <c r="D20" s="94">
        <f>'Incomes FY 11-12'!J21/'Incomes FY 11-12'!J$184*D$4</f>
        <v>11598.962882896418</v>
      </c>
      <c r="F20" s="56">
        <f>IFERROR(VLOOKUP(A20,'[1]Charges AY 2012-13'!$A:$D,4,FALSE),0)</f>
        <v>11835.128846960972</v>
      </c>
      <c r="G20" s="60">
        <f t="shared" si="0"/>
        <v>-236.16596406455392</v>
      </c>
      <c r="H20" s="61">
        <f t="shared" si="3"/>
        <v>-1.9954659312830102E-2</v>
      </c>
    </row>
    <row r="21" spans="1:8">
      <c r="A21" s="43" t="s">
        <v>43</v>
      </c>
      <c r="B21" s="43" t="s">
        <v>44</v>
      </c>
      <c r="C21" s="56">
        <f t="shared" si="2"/>
        <v>4859.2084103330062</v>
      </c>
      <c r="D21" s="94">
        <f>'Incomes FY 11-12'!J22/'Incomes FY 11-12'!J$184*D$4</f>
        <v>5831.0500923996069</v>
      </c>
      <c r="F21" s="56">
        <f>IFERROR(VLOOKUP(A21,'[1]Charges AY 2012-13'!$A:$D,4,FALSE),0)</f>
        <v>5889.9891340418608</v>
      </c>
      <c r="G21" s="60">
        <f t="shared" si="0"/>
        <v>-58.939041642253869</v>
      </c>
      <c r="H21" s="61">
        <f t="shared" si="3"/>
        <v>-1.0006646922590907E-2</v>
      </c>
    </row>
    <row r="22" spans="1:8">
      <c r="A22" s="43" t="s">
        <v>45</v>
      </c>
      <c r="B22" s="43" t="s">
        <v>46</v>
      </c>
      <c r="C22" s="56">
        <f t="shared" si="2"/>
        <v>22331.579804961162</v>
      </c>
      <c r="D22" s="94">
        <f>'Incomes FY 11-12'!J23/'Incomes FY 11-12'!J$184*D$4</f>
        <v>26797.895765953392</v>
      </c>
      <c r="F22" s="56">
        <f>IFERROR(VLOOKUP(A22,'[1]Charges AY 2012-13'!$A:$D,4,FALSE),0)</f>
        <v>28049.862487115399</v>
      </c>
      <c r="G22" s="60">
        <f t="shared" si="0"/>
        <v>-1251.9667211620072</v>
      </c>
      <c r="H22" s="61">
        <f t="shared" si="3"/>
        <v>-4.4633613506557958E-2</v>
      </c>
    </row>
    <row r="23" spans="1:8">
      <c r="A23" s="43" t="s">
        <v>47</v>
      </c>
      <c r="B23" s="43" t="s">
        <v>48</v>
      </c>
      <c r="C23" s="56">
        <f t="shared" si="2"/>
        <v>24020.006987790486</v>
      </c>
      <c r="D23" s="94">
        <f>'Incomes FY 11-12'!J24/'Incomes FY 11-12'!J$184*D$4</f>
        <v>28824.008385348581</v>
      </c>
      <c r="F23" s="56">
        <f>IFERROR(VLOOKUP(A23,'[1]Charges AY 2012-13'!$A:$D,4,FALSE),0)</f>
        <v>29986.852776337837</v>
      </c>
      <c r="G23" s="60">
        <f t="shared" si="0"/>
        <v>-1162.8443909892558</v>
      </c>
      <c r="H23" s="61">
        <f t="shared" si="3"/>
        <v>-3.877847400867751E-2</v>
      </c>
    </row>
    <row r="24" spans="1:8">
      <c r="A24" s="43" t="s">
        <v>50</v>
      </c>
      <c r="B24" s="43" t="s">
        <v>51</v>
      </c>
      <c r="C24" s="56">
        <f t="shared" si="2"/>
        <v>31697.708781676789</v>
      </c>
      <c r="D24" s="94">
        <f>'Incomes FY 11-12'!J25/'Incomes FY 11-12'!J$184*D$4</f>
        <v>38037.250538012144</v>
      </c>
      <c r="F24" s="56">
        <f>IFERROR(VLOOKUP(A24,'[1]Charges AY 2012-13'!$A:$D,4,FALSE),0)</f>
        <v>39996.9145676802</v>
      </c>
      <c r="G24" s="60">
        <f t="shared" si="0"/>
        <v>-1959.6640296680562</v>
      </c>
      <c r="H24" s="61">
        <f t="shared" si="3"/>
        <v>-4.8995380039928808E-2</v>
      </c>
    </row>
    <row r="25" spans="1:8">
      <c r="A25" s="43" t="s">
        <v>53</v>
      </c>
      <c r="B25" s="43" t="s">
        <v>54</v>
      </c>
      <c r="C25" s="56">
        <f t="shared" si="2"/>
        <v>81350.469055861817</v>
      </c>
      <c r="D25" s="94">
        <f>'Incomes FY 11-12'!J26/'Incomes FY 11-12'!J$184*D$4</f>
        <v>97620.562867034168</v>
      </c>
      <c r="F25" s="56">
        <f>IFERROR(VLOOKUP(A25,'[1]Charges AY 2012-13'!$A:$D,4,FALSE),0)</f>
        <v>94733.632378230381</v>
      </c>
      <c r="G25" s="60">
        <f t="shared" si="0"/>
        <v>2886.9304888037877</v>
      </c>
      <c r="H25" s="61">
        <f t="shared" si="3"/>
        <v>3.0474187638847461E-2</v>
      </c>
    </row>
    <row r="26" spans="1:8">
      <c r="A26" s="43" t="s">
        <v>55</v>
      </c>
      <c r="B26" s="43" t="s">
        <v>56</v>
      </c>
      <c r="C26" s="56">
        <f t="shared" si="2"/>
        <v>34178.021085593718</v>
      </c>
      <c r="D26" s="94">
        <f>'Incomes FY 11-12'!J27/'Incomes FY 11-12'!J$184*D$4</f>
        <v>41013.625302712462</v>
      </c>
      <c r="F26" s="56">
        <f>IFERROR(VLOOKUP(A26,'[1]Charges AY 2012-13'!$A:$D,4,FALSE),0)</f>
        <v>41363.165883059497</v>
      </c>
      <c r="G26" s="60">
        <f t="shared" si="0"/>
        <v>-349.54058034703485</v>
      </c>
      <c r="H26" s="61">
        <f t="shared" si="3"/>
        <v>-8.4505277312487102E-3</v>
      </c>
    </row>
    <row r="27" spans="1:8">
      <c r="A27" s="43" t="s">
        <v>59</v>
      </c>
      <c r="B27" s="43" t="s">
        <v>60</v>
      </c>
      <c r="C27" s="56">
        <f t="shared" si="2"/>
        <v>11602.813648290246</v>
      </c>
      <c r="D27" s="94">
        <f>'Incomes FY 11-12'!J28/'Incomes FY 11-12'!J$184*D$4</f>
        <v>13923.376377948296</v>
      </c>
      <c r="F27" s="56">
        <f>IFERROR(VLOOKUP(A27,'[1]Charges AY 2012-13'!$A:$D,4,FALSE),0)</f>
        <v>13780.461240551398</v>
      </c>
      <c r="G27" s="60">
        <f t="shared" si="0"/>
        <v>142.91513739689799</v>
      </c>
      <c r="H27" s="61">
        <f t="shared" si="3"/>
        <v>1.0370852970896606E-2</v>
      </c>
    </row>
    <row r="28" spans="1:8">
      <c r="A28" s="43" t="s">
        <v>61</v>
      </c>
      <c r="B28" s="43" t="s">
        <v>62</v>
      </c>
      <c r="C28" s="56">
        <f t="shared" si="2"/>
        <v>252039.83904028079</v>
      </c>
      <c r="D28" s="94">
        <f>'Incomes FY 11-12'!J29/'Incomes FY 11-12'!J$184*D$4</f>
        <v>302447.80684833694</v>
      </c>
      <c r="F28" s="56">
        <f>IFERROR(VLOOKUP(A28,'[1]Charges AY 2012-13'!$A:$D,4,FALSE),0)</f>
        <v>290000.28174629179</v>
      </c>
      <c r="G28" s="60">
        <f t="shared" si="0"/>
        <v>12447.525102045154</v>
      </c>
      <c r="H28" s="61">
        <f t="shared" si="3"/>
        <v>4.2922458651039982E-2</v>
      </c>
    </row>
    <row r="29" spans="1:8">
      <c r="A29" s="43" t="s">
        <v>63</v>
      </c>
      <c r="B29" s="43" t="s">
        <v>64</v>
      </c>
      <c r="C29" s="56">
        <f t="shared" si="2"/>
        <v>16223.922752836437</v>
      </c>
      <c r="D29" s="94">
        <f>'Incomes FY 11-12'!J30/'Incomes FY 11-12'!J$184*D$4</f>
        <v>19468.707303403724</v>
      </c>
      <c r="F29" s="56">
        <f>IFERROR(VLOOKUP(A29,'[1]Charges AY 2012-13'!$A:$D,4,FALSE),0)</f>
        <v>19780.288082105093</v>
      </c>
      <c r="G29" s="60">
        <f t="shared" si="0"/>
        <v>-311.58077870136913</v>
      </c>
      <c r="H29" s="61">
        <f t="shared" si="3"/>
        <v>-1.5752084975104646E-2</v>
      </c>
    </row>
    <row r="30" spans="1:8">
      <c r="A30" s="43" t="s">
        <v>65</v>
      </c>
      <c r="B30" s="43" t="s">
        <v>66</v>
      </c>
      <c r="C30" s="56">
        <f t="shared" si="2"/>
        <v>21956.988022838592</v>
      </c>
      <c r="D30" s="94">
        <f>'Incomes FY 11-12'!J31/'Incomes FY 11-12'!J$184*D$4</f>
        <v>26348.385627406307</v>
      </c>
      <c r="F30" s="56">
        <f>IFERROR(VLOOKUP(A30,'[1]Charges AY 2012-13'!$A:$D,4,FALSE),0)</f>
        <v>27562.544556952129</v>
      </c>
      <c r="G30" s="60">
        <f t="shared" si="0"/>
        <v>-1214.1589295458216</v>
      </c>
      <c r="H30" s="61">
        <f t="shared" si="3"/>
        <v>-4.4051046413259153E-2</v>
      </c>
    </row>
    <row r="31" spans="1:8">
      <c r="A31" s="43" t="s">
        <v>67</v>
      </c>
      <c r="B31" s="43" t="s">
        <v>68</v>
      </c>
      <c r="C31" s="56">
        <f t="shared" si="2"/>
        <v>37878.568502674316</v>
      </c>
      <c r="D31" s="94">
        <f>'Incomes FY 11-12'!J32/'Incomes FY 11-12'!J$184*D$4</f>
        <v>45454.282203209179</v>
      </c>
      <c r="F31" s="56">
        <f>IFERROR(VLOOKUP(A31,'[1]Charges AY 2012-13'!$A:$D,4,FALSE),0)</f>
        <v>47905.692958775042</v>
      </c>
      <c r="G31" s="60">
        <f t="shared" si="0"/>
        <v>-2451.4107555658629</v>
      </c>
      <c r="H31" s="61">
        <f t="shared" si="3"/>
        <v>-5.1171595778301542E-2</v>
      </c>
    </row>
    <row r="32" spans="1:8">
      <c r="A32" s="43" t="s">
        <v>69</v>
      </c>
      <c r="B32" s="43" t="s">
        <v>70</v>
      </c>
      <c r="C32" s="56">
        <f t="shared" si="2"/>
        <v>15212.810889030778</v>
      </c>
      <c r="D32" s="94">
        <f>'Incomes FY 11-12'!J33/'Incomes FY 11-12'!J$184*D$4</f>
        <v>18255.373066836932</v>
      </c>
      <c r="F32" s="56">
        <f>IFERROR(VLOOKUP(A32,'[1]Charges AY 2012-13'!$A:$D,4,FALSE),0)</f>
        <v>18465.711468783058</v>
      </c>
      <c r="G32" s="60">
        <f t="shared" si="0"/>
        <v>-210.3384019461264</v>
      </c>
      <c r="H32" s="61">
        <f t="shared" si="3"/>
        <v>-1.1390755363079886E-2</v>
      </c>
    </row>
    <row r="33" spans="1:8">
      <c r="A33" s="43" t="s">
        <v>71</v>
      </c>
      <c r="B33" s="43" t="s">
        <v>72</v>
      </c>
      <c r="C33" s="56">
        <f t="shared" si="2"/>
        <v>7831.1605137889319</v>
      </c>
      <c r="D33" s="94">
        <f>'Incomes FY 11-12'!J34/'Incomes FY 11-12'!J$184*D$4</f>
        <v>9397.3926165467183</v>
      </c>
      <c r="F33" s="56">
        <f>IFERROR(VLOOKUP(A33,'[1]Charges AY 2012-13'!$A:$D,4,FALSE),0)</f>
        <v>9412.6744285459281</v>
      </c>
      <c r="G33" s="60">
        <f t="shared" si="0"/>
        <v>-15.281811999209822</v>
      </c>
      <c r="H33" s="61">
        <f t="shared" si="3"/>
        <v>-1.6235355971587089E-3</v>
      </c>
    </row>
    <row r="34" spans="1:8">
      <c r="A34" s="43" t="s">
        <v>73</v>
      </c>
      <c r="B34" s="43" t="s">
        <v>74</v>
      </c>
      <c r="C34" s="56">
        <f t="shared" si="2"/>
        <v>34745.341769357983</v>
      </c>
      <c r="D34" s="94">
        <f>'Incomes FY 11-12'!J35/'Incomes FY 11-12'!J$184*D$4</f>
        <v>41694.41012322958</v>
      </c>
      <c r="F34" s="56">
        <f>IFERROR(VLOOKUP(A34,'[1]Charges AY 2012-13'!$A:$D,4,FALSE),0)</f>
        <v>41812.017443081488</v>
      </c>
      <c r="G34" s="60">
        <f t="shared" si="0"/>
        <v>-117.60731985190796</v>
      </c>
      <c r="H34" s="61">
        <f t="shared" si="3"/>
        <v>-2.8127635795619351E-3</v>
      </c>
    </row>
    <row r="35" spans="1:8">
      <c r="A35" s="43" t="s">
        <v>75</v>
      </c>
      <c r="B35" s="43" t="s">
        <v>76</v>
      </c>
      <c r="C35" s="56">
        <f t="shared" si="2"/>
        <v>2295.3993122330221</v>
      </c>
      <c r="D35" s="94">
        <f>'Incomes FY 11-12'!J36/'Incomes FY 11-12'!J$184*D$4</f>
        <v>2754.4791746796263</v>
      </c>
      <c r="F35" s="56">
        <f>IFERROR(VLOOKUP(A35,'[1]Charges AY 2012-13'!$A:$D,4,FALSE),0)</f>
        <v>3124.3498109326629</v>
      </c>
      <c r="G35" s="60">
        <f t="shared" si="0"/>
        <v>-369.87063625303654</v>
      </c>
      <c r="H35" s="61">
        <f t="shared" si="3"/>
        <v>-0.11838323447611165</v>
      </c>
    </row>
    <row r="36" spans="1:8">
      <c r="A36" s="43" t="s">
        <v>77</v>
      </c>
      <c r="B36" s="43" t="s">
        <v>78</v>
      </c>
      <c r="C36" s="56">
        <f t="shared" si="2"/>
        <v>38267.457681061111</v>
      </c>
      <c r="D36" s="94">
        <f>'Incomes FY 11-12'!J37/'Incomes FY 11-12'!J$184*D$4</f>
        <v>45920.94921727333</v>
      </c>
      <c r="F36" s="56">
        <f>IFERROR(VLOOKUP(A36,'[1]Charges AY 2012-13'!$A:$D,4,FALSE),0)</f>
        <v>44724.802218237135</v>
      </c>
      <c r="G36" s="60">
        <f t="shared" si="0"/>
        <v>1196.1469990361948</v>
      </c>
      <c r="H36" s="61">
        <f t="shared" si="3"/>
        <v>2.6744601199118322E-2</v>
      </c>
    </row>
    <row r="37" spans="1:8">
      <c r="A37" s="43" t="s">
        <v>79</v>
      </c>
      <c r="B37" s="43" t="s">
        <v>80</v>
      </c>
      <c r="C37" s="56">
        <f t="shared" si="2"/>
        <v>31687.605288316736</v>
      </c>
      <c r="D37" s="94">
        <f>'Incomes FY 11-12'!J38/'Incomes FY 11-12'!J$184*D$4</f>
        <v>38025.126345980083</v>
      </c>
      <c r="F37" s="56">
        <f>IFERROR(VLOOKUP(A37,'[1]Charges AY 2012-13'!$A:$D,4,FALSE),0)</f>
        <v>39232.685117524008</v>
      </c>
      <c r="G37" s="60">
        <f t="shared" si="0"/>
        <v>-1207.5587715439251</v>
      </c>
      <c r="H37" s="61">
        <f t="shared" si="3"/>
        <v>-3.0779406709650535E-2</v>
      </c>
    </row>
    <row r="38" spans="1:8">
      <c r="A38" s="43" t="s">
        <v>81</v>
      </c>
      <c r="B38" s="43" t="s">
        <v>82</v>
      </c>
      <c r="C38" s="56">
        <f t="shared" si="2"/>
        <v>11367.764453706466</v>
      </c>
      <c r="D38" s="94">
        <f>'Incomes FY 11-12'!J39/'Incomes FY 11-12'!J$184*D$4</f>
        <v>13641.317344447758</v>
      </c>
      <c r="F38" s="56">
        <f>IFERROR(VLOOKUP(A38,'[1]Charges AY 2012-13'!$A:$D,4,FALSE),0)</f>
        <v>13587.202489359688</v>
      </c>
      <c r="G38" s="60">
        <f t="shared" si="0"/>
        <v>54.114855088069817</v>
      </c>
      <c r="H38" s="61">
        <f t="shared" si="3"/>
        <v>3.982781233329514E-3</v>
      </c>
    </row>
    <row r="39" spans="1:8">
      <c r="A39" s="43" t="s">
        <v>83</v>
      </c>
      <c r="B39" s="43" t="s">
        <v>84</v>
      </c>
      <c r="C39" s="56">
        <f t="shared" si="2"/>
        <v>14898.840067068502</v>
      </c>
      <c r="D39" s="94">
        <f>'Incomes FY 11-12'!J40/'Incomes FY 11-12'!J$184*D$4</f>
        <v>17878.608080482201</v>
      </c>
      <c r="F39" s="56">
        <f>IFERROR(VLOOKUP(A39,'[1]Charges AY 2012-13'!$A:$D,4,FALSE),0)</f>
        <v>19986.291714970121</v>
      </c>
      <c r="G39" s="60">
        <f t="shared" si="0"/>
        <v>-2107.6836344879193</v>
      </c>
      <c r="H39" s="61">
        <f t="shared" si="3"/>
        <v>-0.10545646308710802</v>
      </c>
    </row>
    <row r="40" spans="1:8">
      <c r="A40" s="43" t="s">
        <v>85</v>
      </c>
      <c r="B40" s="43" t="s">
        <v>86</v>
      </c>
      <c r="C40" s="56">
        <f t="shared" si="2"/>
        <v>2979.9586453638899</v>
      </c>
      <c r="D40" s="94">
        <f>'Incomes FY 11-12'!J41/'Incomes FY 11-12'!J$184*D$4</f>
        <v>3575.950374436668</v>
      </c>
      <c r="F40" s="56">
        <f>IFERROR(VLOOKUP(A40,'[1]Charges AY 2012-13'!$A:$D,4,FALSE),0)</f>
        <v>3597.3007835732883</v>
      </c>
      <c r="G40" s="60">
        <f t="shared" si="0"/>
        <v>-21.350409136620328</v>
      </c>
      <c r="H40" s="61">
        <f t="shared" si="3"/>
        <v>-5.9351192522223385E-3</v>
      </c>
    </row>
    <row r="41" spans="1:8">
      <c r="A41" s="43" t="s">
        <v>87</v>
      </c>
      <c r="B41" s="43" t="s">
        <v>88</v>
      </c>
      <c r="C41" s="56">
        <f t="shared" si="2"/>
        <v>28020.418462519327</v>
      </c>
      <c r="D41" s="94">
        <f>'Incomes FY 11-12'!J42/'Incomes FY 11-12'!J$184*D$4</f>
        <v>33624.50215502319</v>
      </c>
      <c r="F41" s="56">
        <f>IFERROR(VLOOKUP(A41,'[1]Charges AY 2012-13'!$A:$D,4,FALSE),0)</f>
        <v>34627.380056152237</v>
      </c>
      <c r="G41" s="60">
        <f t="shared" si="0"/>
        <v>-1002.8779011290462</v>
      </c>
      <c r="H41" s="61">
        <f t="shared" si="3"/>
        <v>-2.8961991912260343E-2</v>
      </c>
    </row>
    <row r="42" spans="1:8">
      <c r="A42" s="43" t="s">
        <v>89</v>
      </c>
      <c r="B42" s="43" t="s">
        <v>90</v>
      </c>
      <c r="C42" s="56">
        <f t="shared" si="2"/>
        <v>23121.749238497068</v>
      </c>
      <c r="D42" s="94">
        <f>'Incomes FY 11-12'!J43/'Incomes FY 11-12'!J$184*D$4</f>
        <v>27746.099086196482</v>
      </c>
      <c r="F42" s="56">
        <f>IFERROR(VLOOKUP(A42,'[1]Charges AY 2012-13'!$A:$D,4,FALSE),0)</f>
        <v>27873.28794465966</v>
      </c>
      <c r="G42" s="60">
        <f t="shared" ref="G42:G73" si="4">D42-F42</f>
        <v>-127.18885846317789</v>
      </c>
      <c r="H42" s="61">
        <f t="shared" si="3"/>
        <v>-4.5631092648883735E-3</v>
      </c>
    </row>
    <row r="43" spans="1:8">
      <c r="A43" s="43" t="s">
        <v>91</v>
      </c>
      <c r="B43" s="43" t="s">
        <v>92</v>
      </c>
      <c r="C43" s="56">
        <f t="shared" si="2"/>
        <v>50321.115891549773</v>
      </c>
      <c r="D43" s="94">
        <f>'Incomes FY 11-12'!J44/'Incomes FY 11-12'!J$184*D$4</f>
        <v>60385.339069859729</v>
      </c>
      <c r="F43" s="56">
        <f>IFERROR(VLOOKUP(A43,'[1]Charges AY 2012-13'!$A:$D,4,FALSE),0)</f>
        <v>59118.639854956957</v>
      </c>
      <c r="G43" s="60">
        <f t="shared" si="4"/>
        <v>1266.6992149027719</v>
      </c>
      <c r="H43" s="61">
        <f t="shared" si="3"/>
        <v>2.1426393063347215E-2</v>
      </c>
    </row>
    <row r="44" spans="1:8">
      <c r="A44" s="43" t="s">
        <v>94</v>
      </c>
      <c r="B44" s="43" t="s">
        <v>95</v>
      </c>
      <c r="C44" s="56">
        <f t="shared" si="2"/>
        <v>45127.729672534399</v>
      </c>
      <c r="D44" s="94">
        <f>'Incomes FY 11-12'!J45/'Incomes FY 11-12'!J$184*D$4</f>
        <v>54153.275607041272</v>
      </c>
      <c r="F44" s="56">
        <f>IFERROR(VLOOKUP(A44,'[1]Charges AY 2012-13'!$A:$D,4,FALSE),0)</f>
        <v>53751.654319763642</v>
      </c>
      <c r="G44" s="60">
        <f t="shared" si="4"/>
        <v>401.62128727763047</v>
      </c>
      <c r="H44" s="61">
        <f t="shared" si="3"/>
        <v>7.4717939821614121E-3</v>
      </c>
    </row>
    <row r="45" spans="1:8">
      <c r="A45" s="43" t="s">
        <v>96</v>
      </c>
      <c r="B45" s="43" t="s">
        <v>97</v>
      </c>
      <c r="C45" s="56">
        <f t="shared" si="2"/>
        <v>29349.313787291056</v>
      </c>
      <c r="D45" s="94">
        <f>'Incomes FY 11-12'!J46/'Incomes FY 11-12'!J$184*D$4</f>
        <v>35219.176544749265</v>
      </c>
      <c r="F45" s="56">
        <f>IFERROR(VLOOKUP(A45,'[1]Charges AY 2012-13'!$A:$D,4,FALSE),0)</f>
        <v>38579.220275364991</v>
      </c>
      <c r="G45" s="60">
        <f t="shared" si="4"/>
        <v>-3360.0437306157255</v>
      </c>
      <c r="H45" s="61">
        <f t="shared" si="3"/>
        <v>-8.7094651126510797E-2</v>
      </c>
    </row>
    <row r="46" spans="1:8">
      <c r="A46" s="43" t="s">
        <v>98</v>
      </c>
      <c r="B46" s="43" t="s">
        <v>99</v>
      </c>
      <c r="C46" s="56">
        <f t="shared" si="2"/>
        <v>18903.636076651703</v>
      </c>
      <c r="D46" s="94">
        <f>'Incomes FY 11-12'!J47/'Incomes FY 11-12'!J$184*D$4</f>
        <v>22684.363291982041</v>
      </c>
      <c r="F46" s="56">
        <f>IFERROR(VLOOKUP(A46,'[1]Charges AY 2012-13'!$A:$D,4,FALSE),0)</f>
        <v>23729.811050104523</v>
      </c>
      <c r="G46" s="60">
        <f t="shared" si="4"/>
        <v>-1045.4477581224819</v>
      </c>
      <c r="H46" s="61">
        <f t="shared" si="3"/>
        <v>-4.4056303521130526E-2</v>
      </c>
    </row>
    <row r="47" spans="1:8">
      <c r="A47" s="43" t="s">
        <v>100</v>
      </c>
      <c r="B47" s="43" t="s">
        <v>101</v>
      </c>
      <c r="C47" s="56">
        <f t="shared" si="2"/>
        <v>13273.321427801748</v>
      </c>
      <c r="D47" s="94">
        <f>'Incomes FY 11-12'!J48/'Incomes FY 11-12'!J$184*D$4</f>
        <v>15927.985713362097</v>
      </c>
      <c r="F47" s="56">
        <f>IFERROR(VLOOKUP(A47,'[1]Charges AY 2012-13'!$A:$D,4,FALSE),0)</f>
        <v>15622.675955148645</v>
      </c>
      <c r="G47" s="60">
        <f t="shared" si="4"/>
        <v>305.30975821345237</v>
      </c>
      <c r="H47" s="61">
        <f t="shared" si="3"/>
        <v>1.9542731289439168E-2</v>
      </c>
    </row>
    <row r="48" spans="1:8">
      <c r="A48" s="43" t="s">
        <v>102</v>
      </c>
      <c r="B48" s="43" t="s">
        <v>103</v>
      </c>
      <c r="C48" s="56">
        <f t="shared" si="2"/>
        <v>32692.426297766142</v>
      </c>
      <c r="D48" s="94">
        <f>'Incomes FY 11-12'!J49/'Incomes FY 11-12'!J$184*D$4</f>
        <v>39230.91155731937</v>
      </c>
      <c r="F48" s="56">
        <f>IFERROR(VLOOKUP(A48,'[1]Charges AY 2012-13'!$A:$D,4,FALSE),0)</f>
        <v>38205.447654654883</v>
      </c>
      <c r="G48" s="60">
        <f t="shared" si="4"/>
        <v>1025.4639026644873</v>
      </c>
      <c r="H48" s="61">
        <f t="shared" si="3"/>
        <v>2.684077705184398E-2</v>
      </c>
    </row>
    <row r="49" spans="1:8">
      <c r="A49" s="43" t="s">
        <v>104</v>
      </c>
      <c r="B49" s="43" t="s">
        <v>105</v>
      </c>
      <c r="C49" s="56">
        <f t="shared" si="2"/>
        <v>52008.971178528525</v>
      </c>
      <c r="D49" s="94">
        <f>'Incomes FY 11-12'!J50/'Incomes FY 11-12'!J$184*D$4</f>
        <v>62410.765414234229</v>
      </c>
      <c r="F49" s="56">
        <f>IFERROR(VLOOKUP(A49,'[1]Charges AY 2012-13'!$A:$D,4,FALSE),0)</f>
        <v>60046.003790531569</v>
      </c>
      <c r="G49" s="60">
        <f t="shared" si="4"/>
        <v>2364.7616237026596</v>
      </c>
      <c r="H49" s="61">
        <f t="shared" si="3"/>
        <v>3.9382497991907163E-2</v>
      </c>
    </row>
    <row r="50" spans="1:8">
      <c r="A50" s="43" t="s">
        <v>106</v>
      </c>
      <c r="B50" s="43" t="s">
        <v>107</v>
      </c>
      <c r="C50" s="56">
        <f t="shared" si="2"/>
        <v>8455.861414560266</v>
      </c>
      <c r="D50" s="94">
        <f>'Incomes FY 11-12'!J51/'Incomes FY 11-12'!J$184*D$4</f>
        <v>10147.033697472318</v>
      </c>
      <c r="F50" s="56">
        <f>IFERROR(VLOOKUP(A50,'[1]Charges AY 2012-13'!$A:$D,4,FALSE),0)</f>
        <v>9675.2189910162015</v>
      </c>
      <c r="G50" s="60">
        <f t="shared" si="4"/>
        <v>471.81470645611626</v>
      </c>
      <c r="H50" s="61">
        <f t="shared" si="3"/>
        <v>4.8765274139449831E-2</v>
      </c>
    </row>
    <row r="51" spans="1:8">
      <c r="A51" s="43" t="s">
        <v>108</v>
      </c>
      <c r="B51" s="43" t="s">
        <v>109</v>
      </c>
      <c r="C51" s="56">
        <f t="shared" si="2"/>
        <v>13499.982816577189</v>
      </c>
      <c r="D51" s="94">
        <f>'Incomes FY 11-12'!J52/'Incomes FY 11-12'!J$184*D$4</f>
        <v>16199.979379892626</v>
      </c>
      <c r="F51" s="56">
        <f>IFERROR(VLOOKUP(A51,'[1]Charges AY 2012-13'!$A:$D,4,FALSE),0)</f>
        <v>16231.4178488904</v>
      </c>
      <c r="G51" s="60">
        <f t="shared" si="4"/>
        <v>-31.43846899777418</v>
      </c>
      <c r="H51" s="61">
        <f t="shared" si="3"/>
        <v>-1.9368898817378024E-3</v>
      </c>
    </row>
    <row r="52" spans="1:8">
      <c r="A52" s="43" t="s">
        <v>110</v>
      </c>
      <c r="B52" s="43" t="s">
        <v>111</v>
      </c>
      <c r="C52" s="56">
        <f t="shared" si="2"/>
        <v>15803.769934618549</v>
      </c>
      <c r="D52" s="94">
        <f>'Incomes FY 11-12'!J53/'Incomes FY 11-12'!J$184*D$4</f>
        <v>18964.523921542259</v>
      </c>
      <c r="F52" s="56">
        <f>IFERROR(VLOOKUP(A52,'[1]Charges AY 2012-13'!$A:$D,4,FALSE),0)</f>
        <v>18844.813767283827</v>
      </c>
      <c r="G52" s="60">
        <f t="shared" si="4"/>
        <v>119.71015425843143</v>
      </c>
      <c r="H52" s="61">
        <f t="shared" si="3"/>
        <v>6.3524190653588873E-3</v>
      </c>
    </row>
    <row r="53" spans="1:8">
      <c r="A53" s="43" t="s">
        <v>112</v>
      </c>
      <c r="B53" s="43" t="s">
        <v>113</v>
      </c>
      <c r="C53" s="56">
        <f t="shared" si="2"/>
        <v>35806.399204113324</v>
      </c>
      <c r="D53" s="94">
        <f>'Incomes FY 11-12'!J54/'Incomes FY 11-12'!J$184*D$4</f>
        <v>42967.679044935983</v>
      </c>
      <c r="F53" s="56">
        <f>IFERROR(VLOOKUP(A53,'[1]Charges AY 2012-13'!$A:$D,4,FALSE),0)</f>
        <v>45727.940268487633</v>
      </c>
      <c r="G53" s="60">
        <f t="shared" si="4"/>
        <v>-2760.2612235516499</v>
      </c>
      <c r="H53" s="61">
        <f t="shared" si="3"/>
        <v>-6.0362684331395987E-2</v>
      </c>
    </row>
    <row r="54" spans="1:8">
      <c r="A54" s="43" t="s">
        <v>114</v>
      </c>
      <c r="B54" s="43" t="s">
        <v>115</v>
      </c>
      <c r="C54" s="56">
        <f t="shared" si="2"/>
        <v>3830.9396710102824</v>
      </c>
      <c r="D54" s="94">
        <f>'Incomes FY 11-12'!J55/'Incomes FY 11-12'!J$184*D$4</f>
        <v>4597.1276052123385</v>
      </c>
      <c r="F54" s="56">
        <f>IFERROR(VLOOKUP(A54,'[1]Charges AY 2012-13'!$A:$D,4,FALSE),0)</f>
        <v>4366.8599115201387</v>
      </c>
      <c r="G54" s="60">
        <f t="shared" si="4"/>
        <v>230.26769369219983</v>
      </c>
      <c r="H54" s="61">
        <f t="shared" si="3"/>
        <v>5.2730726049794854E-2</v>
      </c>
    </row>
    <row r="55" spans="1:8">
      <c r="A55" s="43" t="s">
        <v>116</v>
      </c>
      <c r="B55" s="43" t="s">
        <v>117</v>
      </c>
      <c r="C55" s="56">
        <f t="shared" si="2"/>
        <v>6514.2750018791485</v>
      </c>
      <c r="D55" s="94">
        <f>'Incomes FY 11-12'!J56/'Incomes FY 11-12'!J$184*D$4</f>
        <v>7817.1300022549776</v>
      </c>
      <c r="F55" s="56">
        <f>IFERROR(VLOOKUP(A55,'[1]Charges AY 2012-13'!$A:$D,4,FALSE),0)</f>
        <v>8308.5042253942447</v>
      </c>
      <c r="G55" s="60">
        <f t="shared" si="4"/>
        <v>-491.37422313926709</v>
      </c>
      <c r="H55" s="61">
        <f t="shared" si="3"/>
        <v>-5.9141117318978198E-2</v>
      </c>
    </row>
    <row r="56" spans="1:8">
      <c r="A56" s="43" t="s">
        <v>118</v>
      </c>
      <c r="B56" s="43" t="s">
        <v>119</v>
      </c>
      <c r="C56" s="56">
        <f t="shared" si="2"/>
        <v>45337.424817742947</v>
      </c>
      <c r="D56" s="94">
        <f>'Incomes FY 11-12'!J57/'Incomes FY 11-12'!J$184*D$4</f>
        <v>54404.909781291535</v>
      </c>
      <c r="F56" s="56">
        <f>IFERROR(VLOOKUP(A56,'[1]Charges AY 2012-13'!$A:$D,4,FALSE),0)</f>
        <v>59027.803607394417</v>
      </c>
      <c r="G56" s="60">
        <f t="shared" si="4"/>
        <v>-4622.8938261028816</v>
      </c>
      <c r="H56" s="61">
        <f t="shared" si="3"/>
        <v>-7.8317225842429478E-2</v>
      </c>
    </row>
    <row r="57" spans="1:8">
      <c r="A57" s="43" t="s">
        <v>120</v>
      </c>
      <c r="B57" s="43" t="s">
        <v>121</v>
      </c>
      <c r="C57" s="56">
        <f t="shared" si="2"/>
        <v>1305.2569629482186</v>
      </c>
      <c r="D57" s="94">
        <f>'Incomes FY 11-12'!J58/'Incomes FY 11-12'!J$184*D$4</f>
        <v>1566.3083555378623</v>
      </c>
      <c r="F57" s="56">
        <f>IFERROR(VLOOKUP(A57,'[1]Charges AY 2012-13'!$A:$D,4,FALSE),0)</f>
        <v>1693.4471867014681</v>
      </c>
      <c r="G57" s="60">
        <f t="shared" si="4"/>
        <v>-127.1388311636058</v>
      </c>
      <c r="H57" s="61">
        <f t="shared" si="3"/>
        <v>-7.5076939016474123E-2</v>
      </c>
    </row>
    <row r="58" spans="1:8">
      <c r="A58" s="43" t="s">
        <v>122</v>
      </c>
      <c r="B58" s="43" t="s">
        <v>123</v>
      </c>
      <c r="C58" s="56">
        <f t="shared" si="2"/>
        <v>26607.454447713979</v>
      </c>
      <c r="D58" s="94">
        <f>'Incomes FY 11-12'!J59/'Incomes FY 11-12'!J$184*D$4</f>
        <v>31928.945337256773</v>
      </c>
      <c r="F58" s="56">
        <f>IFERROR(VLOOKUP(A58,'[1]Charges AY 2012-13'!$A:$D,4,FALSE),0)</f>
        <v>32215.816718439841</v>
      </c>
      <c r="G58" s="60">
        <f t="shared" si="4"/>
        <v>-286.87138118306757</v>
      </c>
      <c r="H58" s="61">
        <f t="shared" si="3"/>
        <v>-8.9046751069597058E-3</v>
      </c>
    </row>
    <row r="59" spans="1:8">
      <c r="A59" s="43" t="s">
        <v>124</v>
      </c>
      <c r="B59" s="43" t="s">
        <v>125</v>
      </c>
      <c r="C59" s="56">
        <f t="shared" si="2"/>
        <v>32855.797879078629</v>
      </c>
      <c r="D59" s="94">
        <f>'Incomes FY 11-12'!J60/'Incomes FY 11-12'!J$184*D$4</f>
        <v>39426.957454894356</v>
      </c>
      <c r="F59" s="56">
        <f>IFERROR(VLOOKUP(A59,'[1]Charges AY 2012-13'!$A:$D,4,FALSE),0)</f>
        <v>40875.152777532225</v>
      </c>
      <c r="G59" s="60">
        <f t="shared" si="4"/>
        <v>-1448.1953226378682</v>
      </c>
      <c r="H59" s="61">
        <f t="shared" si="3"/>
        <v>-3.5429722563236392E-2</v>
      </c>
    </row>
    <row r="60" spans="1:8">
      <c r="A60" s="43" t="s">
        <v>126</v>
      </c>
      <c r="B60" s="43" t="s">
        <v>127</v>
      </c>
      <c r="C60" s="56">
        <f t="shared" si="2"/>
        <v>145931.23608549434</v>
      </c>
      <c r="D60" s="94">
        <f>'Incomes FY 11-12'!J61/'Incomes FY 11-12'!J$184*D$4</f>
        <v>175117.4833025932</v>
      </c>
      <c r="F60" s="56">
        <f>IFERROR(VLOOKUP(A60,'[1]Charges AY 2012-13'!$A:$D,4,FALSE),0)</f>
        <v>163377.56507070109</v>
      </c>
      <c r="G60" s="60">
        <f t="shared" si="4"/>
        <v>11739.918231892108</v>
      </c>
      <c r="H60" s="61">
        <f t="shared" si="3"/>
        <v>7.1857590892676709E-2</v>
      </c>
    </row>
    <row r="61" spans="1:8">
      <c r="A61" s="43" t="s">
        <v>128</v>
      </c>
      <c r="B61" s="43" t="s">
        <v>129</v>
      </c>
      <c r="C61" s="56">
        <f t="shared" si="2"/>
        <v>22726.187941853645</v>
      </c>
      <c r="D61" s="94">
        <f>'Incomes FY 11-12'!J62/'Incomes FY 11-12'!J$184*D$4</f>
        <v>27271.425530224373</v>
      </c>
      <c r="F61" s="56">
        <f>IFERROR(VLOOKUP(A61,'[1]Charges AY 2012-13'!$A:$D,4,FALSE),0)</f>
        <v>26744.554878646682</v>
      </c>
      <c r="G61" s="60">
        <f t="shared" si="4"/>
        <v>526.8706515776903</v>
      </c>
      <c r="H61" s="61">
        <f t="shared" si="3"/>
        <v>1.9700109198614965E-2</v>
      </c>
    </row>
    <row r="62" spans="1:8">
      <c r="A62" s="43" t="s">
        <v>130</v>
      </c>
      <c r="B62" s="43" t="s">
        <v>131</v>
      </c>
      <c r="C62" s="56">
        <f t="shared" si="2"/>
        <v>35342.019773451451</v>
      </c>
      <c r="D62" s="94">
        <f>'Incomes FY 11-12'!J63/'Incomes FY 11-12'!J$184*D$4</f>
        <v>42410.423728141737</v>
      </c>
      <c r="F62" s="56">
        <f>IFERROR(VLOOKUP(A62,'[1]Charges AY 2012-13'!$A:$D,4,FALSE),0)</f>
        <v>42240.940642668844</v>
      </c>
      <c r="G62" s="60">
        <f t="shared" si="4"/>
        <v>169.48308547289344</v>
      </c>
      <c r="H62" s="61">
        <f t="shared" si="3"/>
        <v>4.0122943025017177E-3</v>
      </c>
    </row>
    <row r="63" spans="1:8">
      <c r="A63" s="43" t="s">
        <v>132</v>
      </c>
      <c r="B63" s="43" t="s">
        <v>133</v>
      </c>
      <c r="C63" s="56">
        <f t="shared" si="2"/>
        <v>105652.03943408233</v>
      </c>
      <c r="D63" s="94">
        <f>'Incomes FY 11-12'!J64/'Incomes FY 11-12'!J$184*D$4</f>
        <v>126782.44732089879</v>
      </c>
      <c r="F63" s="56">
        <f>IFERROR(VLOOKUP(A63,'[1]Charges AY 2012-13'!$A:$D,4,FALSE),0)</f>
        <v>121449.45334183176</v>
      </c>
      <c r="G63" s="60">
        <f t="shared" si="4"/>
        <v>5332.9939790670323</v>
      </c>
      <c r="H63" s="61">
        <f t="shared" si="3"/>
        <v>4.3911222589506284E-2</v>
      </c>
    </row>
    <row r="64" spans="1:8">
      <c r="A64" s="43" t="s">
        <v>134</v>
      </c>
      <c r="B64" s="43" t="s">
        <v>135</v>
      </c>
      <c r="C64" s="56">
        <f t="shared" si="2"/>
        <v>38761.19443205218</v>
      </c>
      <c r="D64" s="94">
        <f>'Incomes FY 11-12'!J65/'Incomes FY 11-12'!J$184*D$4</f>
        <v>46513.433318462616</v>
      </c>
      <c r="F64" s="56">
        <f>IFERROR(VLOOKUP(A64,'[1]Charges AY 2012-13'!$A:$D,4,FALSE),0)</f>
        <v>48689.619044244544</v>
      </c>
      <c r="G64" s="60">
        <f t="shared" si="4"/>
        <v>-2176.1857257819283</v>
      </c>
      <c r="H64" s="61">
        <f t="shared" si="3"/>
        <v>-4.4695065775815897E-2</v>
      </c>
    </row>
    <row r="65" spans="1:8">
      <c r="A65" s="43" t="s">
        <v>136</v>
      </c>
      <c r="B65" s="43" t="s">
        <v>137</v>
      </c>
      <c r="C65" s="56">
        <f t="shared" si="2"/>
        <v>35111.545745672214</v>
      </c>
      <c r="D65" s="94">
        <f>'Incomes FY 11-12'!J66/'Incomes FY 11-12'!J$184*D$4</f>
        <v>42133.854894806653</v>
      </c>
      <c r="F65" s="56">
        <f>IFERROR(VLOOKUP(A65,'[1]Charges AY 2012-13'!$A:$D,4,FALSE),0)</f>
        <v>41814.566419416151</v>
      </c>
      <c r="G65" s="60">
        <f t="shared" si="4"/>
        <v>319.28847539050184</v>
      </c>
      <c r="H65" s="61">
        <f t="shared" si="3"/>
        <v>7.6358193503172052E-3</v>
      </c>
    </row>
    <row r="66" spans="1:8">
      <c r="A66" s="43" t="s">
        <v>138</v>
      </c>
      <c r="B66" s="43" t="s">
        <v>139</v>
      </c>
      <c r="C66" s="56">
        <f t="shared" si="2"/>
        <v>102474.96735222239</v>
      </c>
      <c r="D66" s="94">
        <f>'Incomes FY 11-12'!J67/'Incomes FY 11-12'!J$184*D$4</f>
        <v>122969.96082266686</v>
      </c>
      <c r="F66" s="56">
        <f>IFERROR(VLOOKUP(A66,'[1]Charges AY 2012-13'!$A:$D,4,FALSE),0)</f>
        <v>125827.20433405455</v>
      </c>
      <c r="G66" s="60">
        <f t="shared" si="4"/>
        <v>-2857.2435113876854</v>
      </c>
      <c r="H66" s="61">
        <f t="shared" si="3"/>
        <v>-2.2707676980584283E-2</v>
      </c>
    </row>
    <row r="67" spans="1:8">
      <c r="A67" s="43" t="s">
        <v>140</v>
      </c>
      <c r="B67" s="43" t="s">
        <v>141</v>
      </c>
      <c r="C67" s="56">
        <f t="shared" si="2"/>
        <v>2431.7011566185888</v>
      </c>
      <c r="D67" s="94">
        <f>'Incomes FY 11-12'!J68/'Incomes FY 11-12'!J$184*D$4</f>
        <v>2918.0413879423063</v>
      </c>
      <c r="F67" s="56">
        <f>IFERROR(VLOOKUP(A67,'[1]Charges AY 2012-13'!$A:$D,4,FALSE),0)</f>
        <v>0</v>
      </c>
      <c r="G67" s="60">
        <f t="shared" si="4"/>
        <v>2918.0413879423063</v>
      </c>
      <c r="H67" s="61" t="str">
        <f t="shared" si="3"/>
        <v>n/a</v>
      </c>
    </row>
    <row r="68" spans="1:8">
      <c r="A68" s="43" t="s">
        <v>386</v>
      </c>
      <c r="B68" s="43" t="s">
        <v>387</v>
      </c>
      <c r="C68" s="56"/>
      <c r="D68" s="94">
        <v>0</v>
      </c>
      <c r="F68" s="56">
        <f>IFERROR(VLOOKUP(A68,'[1]Charges AY 2012-13'!$A:$D,4,FALSE),0)</f>
        <v>2307.7504833552166</v>
      </c>
      <c r="G68" s="60">
        <f t="shared" si="4"/>
        <v>-2307.7504833552166</v>
      </c>
      <c r="H68" s="61">
        <f t="shared" si="3"/>
        <v>-1</v>
      </c>
    </row>
    <row r="69" spans="1:8">
      <c r="A69" s="43" t="s">
        <v>142</v>
      </c>
      <c r="B69" s="43" t="s">
        <v>143</v>
      </c>
      <c r="C69" s="56">
        <f t="shared" si="2"/>
        <v>33926.958807194016</v>
      </c>
      <c r="D69" s="94">
        <f>'Incomes FY 11-12'!J69/'Incomes FY 11-12'!J$184*D$4</f>
        <v>40712.350568632821</v>
      </c>
      <c r="F69" s="56">
        <f>IFERROR(VLOOKUP(A69,'[1]Charges AY 2012-13'!$A:$D,4,FALSE),0)</f>
        <v>39884.06443359104</v>
      </c>
      <c r="G69" s="60">
        <f t="shared" si="4"/>
        <v>828.28613504178065</v>
      </c>
      <c r="H69" s="61">
        <f t="shared" si="3"/>
        <v>2.0767345224329343E-2</v>
      </c>
    </row>
    <row r="70" spans="1:8">
      <c r="A70" s="43" t="s">
        <v>144</v>
      </c>
      <c r="B70" s="43" t="s">
        <v>145</v>
      </c>
      <c r="C70" s="56">
        <f t="shared" si="2"/>
        <v>4435.4335850615171</v>
      </c>
      <c r="D70" s="94">
        <f>'Incomes FY 11-12'!J70/'Incomes FY 11-12'!J$184*D$4</f>
        <v>5322.5203020738199</v>
      </c>
      <c r="F70" s="56">
        <f>IFERROR(VLOOKUP(A70,'[1]Charges AY 2012-13'!$A:$D,4,FALSE),0)</f>
        <v>5299.0900746427442</v>
      </c>
      <c r="G70" s="60">
        <f t="shared" si="4"/>
        <v>23.430227431075764</v>
      </c>
      <c r="H70" s="61">
        <f t="shared" si="3"/>
        <v>4.4215567391832624E-3</v>
      </c>
    </row>
    <row r="71" spans="1:8">
      <c r="A71" s="43" t="s">
        <v>146</v>
      </c>
      <c r="B71" s="43" t="s">
        <v>147</v>
      </c>
      <c r="C71" s="56">
        <f t="shared" si="2"/>
        <v>50300.527640929293</v>
      </c>
      <c r="D71" s="94">
        <f>'Incomes FY 11-12'!J71/'Incomes FY 11-12'!J$184*D$4</f>
        <v>60360.63316911515</v>
      </c>
      <c r="F71" s="56">
        <f>IFERROR(VLOOKUP(A71,'[1]Charges AY 2012-13'!$A:$D,4,FALSE),0)</f>
        <v>60407.494979811025</v>
      </c>
      <c r="G71" s="60">
        <f t="shared" si="4"/>
        <v>-46.861810695874738</v>
      </c>
      <c r="H71" s="61">
        <f t="shared" si="3"/>
        <v>-7.7576152945154513E-4</v>
      </c>
    </row>
    <row r="72" spans="1:8">
      <c r="A72" s="43" t="s">
        <v>148</v>
      </c>
      <c r="B72" s="43" t="s">
        <v>149</v>
      </c>
      <c r="C72" s="56">
        <f t="shared" si="2"/>
        <v>18395.601929396409</v>
      </c>
      <c r="D72" s="94">
        <f>'Incomes FY 11-12'!J72/'Incomes FY 11-12'!J$184*D$4</f>
        <v>22074.722315275689</v>
      </c>
      <c r="F72" s="56">
        <f>IFERROR(VLOOKUP(A72,'[1]Charges AY 2012-13'!$A:$D,4,FALSE),0)</f>
        <v>21145.844222120384</v>
      </c>
      <c r="G72" s="60">
        <f t="shared" si="4"/>
        <v>928.87809315530467</v>
      </c>
      <c r="H72" s="61">
        <f t="shared" si="3"/>
        <v>4.3927217253573528E-2</v>
      </c>
    </row>
    <row r="73" spans="1:8">
      <c r="A73" s="43" t="s">
        <v>150</v>
      </c>
      <c r="B73" s="43" t="s">
        <v>151</v>
      </c>
      <c r="C73" s="56">
        <f t="shared" si="2"/>
        <v>82685.464603039611</v>
      </c>
      <c r="D73" s="94">
        <f>'Incomes FY 11-12'!J73/'Incomes FY 11-12'!J$184*D$4</f>
        <v>99222.557523647527</v>
      </c>
      <c r="F73" s="56">
        <f>IFERROR(VLOOKUP(A73,'[1]Charges AY 2012-13'!$A:$D,4,FALSE),0)</f>
        <v>96562.638760911635</v>
      </c>
      <c r="G73" s="60">
        <f t="shared" si="4"/>
        <v>2659.9187627358915</v>
      </c>
      <c r="H73" s="61">
        <f t="shared" si="3"/>
        <v>2.7546044690450418E-2</v>
      </c>
    </row>
    <row r="74" spans="1:8">
      <c r="A74" s="43" t="s">
        <v>152</v>
      </c>
      <c r="B74" s="43" t="s">
        <v>153</v>
      </c>
      <c r="C74" s="56">
        <f t="shared" si="2"/>
        <v>9965.0945642113602</v>
      </c>
      <c r="D74" s="94">
        <f>'Incomes FY 11-12'!J74/'Incomes FY 11-12'!J$184*D$4</f>
        <v>11958.113477053632</v>
      </c>
      <c r="F74" s="56">
        <f>IFERROR(VLOOKUP(A74,'[1]Charges AY 2012-13'!$A:$D,4,FALSE),0)</f>
        <v>12382.231858428155</v>
      </c>
      <c r="G74" s="60">
        <f t="shared" ref="G74:G105" si="5">D74-F74</f>
        <v>-424.11838137452287</v>
      </c>
      <c r="H74" s="61">
        <f t="shared" si="3"/>
        <v>-3.4252175716273654E-2</v>
      </c>
    </row>
    <row r="75" spans="1:8">
      <c r="A75" s="43" t="s">
        <v>154</v>
      </c>
      <c r="B75" s="43" t="s">
        <v>155</v>
      </c>
      <c r="C75" s="56">
        <f t="shared" si="2"/>
        <v>32488.640743013453</v>
      </c>
      <c r="D75" s="94">
        <f>'Incomes FY 11-12'!J75/'Incomes FY 11-12'!J$184*D$4</f>
        <v>38986.368891616141</v>
      </c>
      <c r="F75" s="56">
        <f>IFERROR(VLOOKUP(A75,'[1]Charges AY 2012-13'!$A:$D,4,FALSE),0)</f>
        <v>40845.491962001601</v>
      </c>
      <c r="G75" s="60">
        <f t="shared" si="5"/>
        <v>-1859.1230703854599</v>
      </c>
      <c r="H75" s="61">
        <f t="shared" ref="H75:H138" si="6">IF(F75&gt;0.01,G75/F75,"n/a")</f>
        <v>-4.5515991632932094E-2</v>
      </c>
    </row>
    <row r="76" spans="1:8">
      <c r="A76" s="43" t="s">
        <v>156</v>
      </c>
      <c r="B76" s="43" t="s">
        <v>157</v>
      </c>
      <c r="C76" s="56">
        <f t="shared" ref="C76:C139" si="7">D76/1.2</f>
        <v>1703.1058429939224</v>
      </c>
      <c r="D76" s="94">
        <f>'Incomes FY 11-12'!J76/'Incomes FY 11-12'!J$184*D$4</f>
        <v>2043.7270115927067</v>
      </c>
      <c r="F76" s="56">
        <f>IFERROR(VLOOKUP(A76,'[1]Charges AY 2012-13'!$A:$D,4,FALSE),0)</f>
        <v>2072.0860349595687</v>
      </c>
      <c r="G76" s="60">
        <f t="shared" si="5"/>
        <v>-28.359023366861948</v>
      </c>
      <c r="H76" s="61">
        <f t="shared" si="6"/>
        <v>-1.3686219050945584E-2</v>
      </c>
    </row>
    <row r="77" spans="1:8">
      <c r="A77" s="43" t="s">
        <v>158</v>
      </c>
      <c r="B77" s="43" t="s">
        <v>159</v>
      </c>
      <c r="C77" s="56">
        <f t="shared" si="7"/>
        <v>40942.214574171441</v>
      </c>
      <c r="D77" s="94">
        <f>'Incomes FY 11-12'!J77/'Incomes FY 11-12'!J$184*D$4</f>
        <v>49130.657489005731</v>
      </c>
      <c r="F77" s="56">
        <f>IFERROR(VLOOKUP(A77,'[1]Charges AY 2012-13'!$A:$D,4,FALSE),0)</f>
        <v>48469.94362922087</v>
      </c>
      <c r="G77" s="60">
        <f t="shared" si="5"/>
        <v>660.71385978486069</v>
      </c>
      <c r="H77" s="61">
        <f t="shared" si="6"/>
        <v>1.3631413827074041E-2</v>
      </c>
    </row>
    <row r="78" spans="1:8">
      <c r="A78" s="43" t="s">
        <v>160</v>
      </c>
      <c r="B78" s="43" t="s">
        <v>161</v>
      </c>
      <c r="C78" s="56">
        <f t="shared" si="7"/>
        <v>26978.424222782953</v>
      </c>
      <c r="D78" s="94">
        <f>'Incomes FY 11-12'!J78/'Incomes FY 11-12'!J$184*D$4</f>
        <v>32374.109067339541</v>
      </c>
      <c r="F78" s="56">
        <f>IFERROR(VLOOKUP(A78,'[1]Charges AY 2012-13'!$A:$D,4,FALSE),0)</f>
        <v>33780.193012558826</v>
      </c>
      <c r="G78" s="60">
        <f t="shared" si="5"/>
        <v>-1406.0839452192849</v>
      </c>
      <c r="H78" s="61">
        <f t="shared" si="6"/>
        <v>-4.1624508915521295E-2</v>
      </c>
    </row>
    <row r="79" spans="1:8">
      <c r="A79" s="43" t="s">
        <v>162</v>
      </c>
      <c r="B79" s="43" t="s">
        <v>163</v>
      </c>
      <c r="C79" s="56">
        <f t="shared" si="7"/>
        <v>166080.4613246849</v>
      </c>
      <c r="D79" s="94">
        <f>'Incomes FY 11-12'!J79/'Incomes FY 11-12'!J$184*D$4</f>
        <v>199296.55358962188</v>
      </c>
      <c r="F79" s="56">
        <f>IFERROR(VLOOKUP(A79,'[1]Charges AY 2012-13'!$A:$D,4,FALSE),0)</f>
        <v>185937.39598319537</v>
      </c>
      <c r="G79" s="60">
        <f t="shared" si="5"/>
        <v>13359.15760642651</v>
      </c>
      <c r="H79" s="61">
        <f t="shared" si="6"/>
        <v>7.1847610513131432E-2</v>
      </c>
    </row>
    <row r="80" spans="1:8">
      <c r="A80" s="43" t="s">
        <v>164</v>
      </c>
      <c r="B80" s="43" t="s">
        <v>165</v>
      </c>
      <c r="C80" s="56">
        <f t="shared" si="7"/>
        <v>1807.7627836480149</v>
      </c>
      <c r="D80" s="94">
        <f>'Incomes FY 11-12'!J80/'Incomes FY 11-12'!J$184*D$4</f>
        <v>2169.3153403776178</v>
      </c>
      <c r="F80" s="56">
        <f>IFERROR(VLOOKUP(A80,'[1]Charges AY 2012-13'!$A:$D,4,FALSE),0)</f>
        <v>5588.2830260663122</v>
      </c>
      <c r="G80" s="60">
        <f t="shared" si="5"/>
        <v>-3418.9676856886945</v>
      </c>
      <c r="H80" s="61">
        <f t="shared" si="6"/>
        <v>-0.61181004429107522</v>
      </c>
    </row>
    <row r="81" spans="1:8">
      <c r="A81" s="43" t="s">
        <v>166</v>
      </c>
      <c r="B81" s="43" t="s">
        <v>167</v>
      </c>
      <c r="C81" s="56">
        <f t="shared" si="7"/>
        <v>20315.646931706102</v>
      </c>
      <c r="D81" s="94">
        <f>'Incomes FY 11-12'!J81/'Incomes FY 11-12'!J$184*D$4</f>
        <v>24378.776318047319</v>
      </c>
      <c r="F81" s="56">
        <f>IFERROR(VLOOKUP(A81,'[1]Charges AY 2012-13'!$A:$D,4,FALSE),0)</f>
        <v>23073.333781368172</v>
      </c>
      <c r="G81" s="60">
        <f t="shared" si="5"/>
        <v>1305.4425366791475</v>
      </c>
      <c r="H81" s="61">
        <f t="shared" si="6"/>
        <v>5.6577976509545345E-2</v>
      </c>
    </row>
    <row r="82" spans="1:8">
      <c r="A82" s="43" t="s">
        <v>168</v>
      </c>
      <c r="B82" s="43" t="s">
        <v>169</v>
      </c>
      <c r="C82" s="56">
        <f t="shared" si="7"/>
        <v>46463.678379463126</v>
      </c>
      <c r="D82" s="94">
        <f>'Incomes FY 11-12'!J82/'Incomes FY 11-12'!J$184*D$4</f>
        <v>55756.414055355752</v>
      </c>
      <c r="F82" s="56">
        <f>IFERROR(VLOOKUP(A82,'[1]Charges AY 2012-13'!$A:$D,4,FALSE),0)</f>
        <v>54154.856030883035</v>
      </c>
      <c r="G82" s="60">
        <f t="shared" si="5"/>
        <v>1601.5580244727171</v>
      </c>
      <c r="H82" s="61">
        <f t="shared" si="6"/>
        <v>2.9573673385068042E-2</v>
      </c>
    </row>
    <row r="83" spans="1:8">
      <c r="A83" s="43" t="s">
        <v>170</v>
      </c>
      <c r="B83" s="43" t="s">
        <v>171</v>
      </c>
      <c r="C83" s="56">
        <f t="shared" si="7"/>
        <v>21584.302560217915</v>
      </c>
      <c r="D83" s="94">
        <f>'Incomes FY 11-12'!J83/'Incomes FY 11-12'!J$184*D$4</f>
        <v>25901.163072261497</v>
      </c>
      <c r="F83" s="56">
        <f>IFERROR(VLOOKUP(A83,'[1]Charges AY 2012-13'!$A:$D,4,FALSE),0)</f>
        <v>24886.119405556128</v>
      </c>
      <c r="G83" s="60">
        <f t="shared" si="5"/>
        <v>1015.0436667053691</v>
      </c>
      <c r="H83" s="61">
        <f t="shared" si="6"/>
        <v>4.0787543054171323E-2</v>
      </c>
    </row>
    <row r="84" spans="1:8">
      <c r="A84" s="43" t="s">
        <v>172</v>
      </c>
      <c r="B84" s="43" t="s">
        <v>173</v>
      </c>
      <c r="C84" s="56">
        <f t="shared" si="7"/>
        <v>29674.913158214895</v>
      </c>
      <c r="D84" s="94">
        <f>'Incomes FY 11-12'!J84/'Incomes FY 11-12'!J$184*D$4</f>
        <v>35609.895789857874</v>
      </c>
      <c r="F84" s="56">
        <f>IFERROR(VLOOKUP(A84,'[1]Charges AY 2012-13'!$A:$D,4,FALSE),0)</f>
        <v>36555.333065642677</v>
      </c>
      <c r="G84" s="60">
        <f t="shared" si="5"/>
        <v>-945.43727578480321</v>
      </c>
      <c r="H84" s="61">
        <f t="shared" si="6"/>
        <v>-2.5863183193737413E-2</v>
      </c>
    </row>
    <row r="85" spans="1:8">
      <c r="A85" s="43" t="s">
        <v>174</v>
      </c>
      <c r="B85" s="43" t="s">
        <v>175</v>
      </c>
      <c r="C85" s="56">
        <f t="shared" si="7"/>
        <v>26358.298488816166</v>
      </c>
      <c r="D85" s="94">
        <f>'Incomes FY 11-12'!J85/'Incomes FY 11-12'!J$184*D$4</f>
        <v>31629.958186579399</v>
      </c>
      <c r="F85" s="56">
        <f>IFERROR(VLOOKUP(A85,'[1]Charges AY 2012-13'!$A:$D,4,FALSE),0)</f>
        <v>33583.69010966846</v>
      </c>
      <c r="G85" s="60">
        <f t="shared" si="5"/>
        <v>-1953.7319230890607</v>
      </c>
      <c r="H85" s="61">
        <f t="shared" si="6"/>
        <v>-5.8175022360827403E-2</v>
      </c>
    </row>
    <row r="86" spans="1:8">
      <c r="A86" s="43" t="s">
        <v>176</v>
      </c>
      <c r="B86" s="43" t="s">
        <v>177</v>
      </c>
      <c r="C86" s="56">
        <f t="shared" si="7"/>
        <v>45324.080581229675</v>
      </c>
      <c r="D86" s="94">
        <f>'Incomes FY 11-12'!J86/'Incomes FY 11-12'!J$184*D$4</f>
        <v>54388.896697475611</v>
      </c>
      <c r="F86" s="56">
        <f>IFERROR(VLOOKUP(A86,'[1]Charges AY 2012-13'!$A:$D,4,FALSE),0)</f>
        <v>55583.441403900906</v>
      </c>
      <c r="G86" s="60">
        <f t="shared" si="5"/>
        <v>-1194.5447064252949</v>
      </c>
      <c r="H86" s="61">
        <f t="shared" si="6"/>
        <v>-2.1491017401118681E-2</v>
      </c>
    </row>
    <row r="87" spans="1:8">
      <c r="A87" s="43" t="s">
        <v>178</v>
      </c>
      <c r="B87" s="43" t="s">
        <v>179</v>
      </c>
      <c r="C87" s="56">
        <f t="shared" si="7"/>
        <v>153899.2703395194</v>
      </c>
      <c r="D87" s="94">
        <f>'Incomes FY 11-12'!J87/'Incomes FY 11-12'!J$184*D$4</f>
        <v>184679.12440742328</v>
      </c>
      <c r="F87" s="56">
        <f>IFERROR(VLOOKUP(A87,'[1]Charges AY 2012-13'!$A:$D,4,FALSE),0)</f>
        <v>187369.22550791188</v>
      </c>
      <c r="G87" s="60">
        <f t="shared" si="5"/>
        <v>-2690.101100488595</v>
      </c>
      <c r="H87" s="61">
        <f t="shared" si="6"/>
        <v>-1.4357219512416688E-2</v>
      </c>
    </row>
    <row r="88" spans="1:8">
      <c r="A88" s="43" t="s">
        <v>180</v>
      </c>
      <c r="B88" s="43" t="s">
        <v>181</v>
      </c>
      <c r="C88" s="56">
        <f t="shared" si="7"/>
        <v>46782.033736279765</v>
      </c>
      <c r="D88" s="94">
        <f>'Incomes FY 11-12'!J88/'Incomes FY 11-12'!J$184*D$4</f>
        <v>56138.44048353572</v>
      </c>
      <c r="F88" s="56">
        <f>IFERROR(VLOOKUP(A88,'[1]Charges AY 2012-13'!$A:$D,4,FALSE),0)</f>
        <v>57474.318393978072</v>
      </c>
      <c r="G88" s="60">
        <f t="shared" si="5"/>
        <v>-1335.877910442352</v>
      </c>
      <c r="H88" s="61">
        <f t="shared" si="6"/>
        <v>-2.3243040505241033E-2</v>
      </c>
    </row>
    <row r="89" spans="1:8">
      <c r="A89" s="43" t="s">
        <v>182</v>
      </c>
      <c r="B89" s="43" t="s">
        <v>183</v>
      </c>
      <c r="C89" s="56">
        <f t="shared" si="7"/>
        <v>33252.693599373386</v>
      </c>
      <c r="D89" s="94">
        <f>'Incomes FY 11-12'!J89/'Incomes FY 11-12'!J$184*D$4</f>
        <v>39903.232319248062</v>
      </c>
      <c r="F89" s="56">
        <f>IFERROR(VLOOKUP(A89,'[1]Charges AY 2012-13'!$A:$D,4,FALSE),0)</f>
        <v>41554.802558401876</v>
      </c>
      <c r="G89" s="60">
        <f t="shared" si="5"/>
        <v>-1651.5702391538143</v>
      </c>
      <c r="H89" s="61">
        <f t="shared" si="6"/>
        <v>-3.9744389035001847E-2</v>
      </c>
    </row>
    <row r="90" spans="1:8">
      <c r="A90" s="43" t="s">
        <v>184</v>
      </c>
      <c r="B90" s="43" t="s">
        <v>185</v>
      </c>
      <c r="C90" s="56">
        <f t="shared" si="7"/>
        <v>73639.787934592707</v>
      </c>
      <c r="D90" s="94">
        <f>'Incomes FY 11-12'!J90/'Incomes FY 11-12'!J$184*D$4</f>
        <v>88367.745521511242</v>
      </c>
      <c r="F90" s="56">
        <f>IFERROR(VLOOKUP(A90,'[1]Charges AY 2012-13'!$A:$D,4,FALSE),0)</f>
        <v>89985.121191874801</v>
      </c>
      <c r="G90" s="60">
        <f t="shared" si="5"/>
        <v>-1617.375670363559</v>
      </c>
      <c r="H90" s="61">
        <f t="shared" si="6"/>
        <v>-1.7973812214075228E-2</v>
      </c>
    </row>
    <row r="91" spans="1:8">
      <c r="A91" s="43" t="s">
        <v>186</v>
      </c>
      <c r="B91" s="43" t="s">
        <v>187</v>
      </c>
      <c r="C91" s="56">
        <f t="shared" si="7"/>
        <v>3964.1914041928153</v>
      </c>
      <c r="D91" s="94">
        <f>'Incomes FY 11-12'!J91/'Incomes FY 11-12'!J$184*D$4</f>
        <v>4757.029685031378</v>
      </c>
      <c r="F91" s="56">
        <f>IFERROR(VLOOKUP(A91,'[1]Charges AY 2012-13'!$A:$D,4,FALSE),0)</f>
        <v>4947.7947907019361</v>
      </c>
      <c r="G91" s="60">
        <f t="shared" si="5"/>
        <v>-190.76510567055811</v>
      </c>
      <c r="H91" s="61">
        <f t="shared" si="6"/>
        <v>-3.8555581575260636E-2</v>
      </c>
    </row>
    <row r="92" spans="1:8">
      <c r="A92" s="43" t="s">
        <v>188</v>
      </c>
      <c r="B92" s="43" t="s">
        <v>189</v>
      </c>
      <c r="C92" s="56">
        <f t="shared" si="7"/>
        <v>18680.977958830244</v>
      </c>
      <c r="D92" s="94">
        <f>'Incomes FY 11-12'!J92/'Incomes FY 11-12'!J$184*D$4</f>
        <v>22417.173550596293</v>
      </c>
      <c r="F92" s="56">
        <f>IFERROR(VLOOKUP(A92,'[1]Charges AY 2012-13'!$A:$D,4,FALSE),0)</f>
        <v>22251.868226242732</v>
      </c>
      <c r="G92" s="60">
        <f t="shared" si="5"/>
        <v>165.30532435356145</v>
      </c>
      <c r="H92" s="61">
        <f t="shared" si="6"/>
        <v>7.4288290166399902E-3</v>
      </c>
    </row>
    <row r="93" spans="1:8">
      <c r="A93" s="43" t="s">
        <v>190</v>
      </c>
      <c r="B93" s="43" t="s">
        <v>191</v>
      </c>
      <c r="C93" s="56">
        <f t="shared" si="7"/>
        <v>40910.188406539593</v>
      </c>
      <c r="D93" s="94">
        <f>'Incomes FY 11-12'!J93/'Incomes FY 11-12'!J$184*D$4</f>
        <v>49092.226087847506</v>
      </c>
      <c r="F93" s="56">
        <f>IFERROR(VLOOKUP(A93,'[1]Charges AY 2012-13'!$A:$D,4,FALSE),0)</f>
        <v>49338.912834219569</v>
      </c>
      <c r="G93" s="60">
        <f t="shared" si="5"/>
        <v>-246.68674637206277</v>
      </c>
      <c r="H93" s="61">
        <f t="shared" si="6"/>
        <v>-4.9998415490211277E-3</v>
      </c>
    </row>
    <row r="94" spans="1:8">
      <c r="A94" s="43" t="s">
        <v>192</v>
      </c>
      <c r="B94" s="43" t="s">
        <v>193</v>
      </c>
      <c r="C94" s="56">
        <f t="shared" si="7"/>
        <v>2415.8787047528513</v>
      </c>
      <c r="D94" s="94">
        <f>'Incomes FY 11-12'!J94/'Incomes FY 11-12'!J$184*D$4</f>
        <v>2899.0544457034216</v>
      </c>
      <c r="F94" s="56">
        <f>IFERROR(VLOOKUP(A94,'[1]Charges AY 2012-13'!$A:$D,4,FALSE),0)</f>
        <v>2871.5377035583738</v>
      </c>
      <c r="G94" s="60">
        <f t="shared" si="5"/>
        <v>27.516742145047829</v>
      </c>
      <c r="H94" s="61">
        <f t="shared" si="6"/>
        <v>9.5825808280174847E-3</v>
      </c>
    </row>
    <row r="95" spans="1:8">
      <c r="A95" s="43" t="s">
        <v>194</v>
      </c>
      <c r="B95" s="43" t="s">
        <v>195</v>
      </c>
      <c r="C95" s="56">
        <f t="shared" si="7"/>
        <v>99183.325468298499</v>
      </c>
      <c r="D95" s="94">
        <f>'Incomes FY 11-12'!J95/'Incomes FY 11-12'!J$184*D$4</f>
        <v>119019.9905619582</v>
      </c>
      <c r="F95" s="56">
        <f>IFERROR(VLOOKUP(A95,'[1]Charges AY 2012-13'!$A:$D,4,FALSE),0)</f>
        <v>118338.54358793642</v>
      </c>
      <c r="G95" s="60">
        <f t="shared" si="5"/>
        <v>681.44697402177553</v>
      </c>
      <c r="H95" s="61">
        <f t="shared" si="6"/>
        <v>5.7584532761753805E-3</v>
      </c>
    </row>
    <row r="96" spans="1:8">
      <c r="A96" s="43" t="s">
        <v>196</v>
      </c>
      <c r="B96" s="43" t="s">
        <v>197</v>
      </c>
      <c r="C96" s="56">
        <f t="shared" si="7"/>
        <v>37063.807547563949</v>
      </c>
      <c r="D96" s="94">
        <f>'Incomes FY 11-12'!J96/'Incomes FY 11-12'!J$184*D$4</f>
        <v>44476.56905707674</v>
      </c>
      <c r="F96" s="56">
        <f>IFERROR(VLOOKUP(A96,'[1]Charges AY 2012-13'!$A:$D,4,FALSE),0)</f>
        <v>46336.21871198673</v>
      </c>
      <c r="G96" s="60">
        <f t="shared" si="5"/>
        <v>-1859.6496549099902</v>
      </c>
      <c r="H96" s="61">
        <f t="shared" si="6"/>
        <v>-4.0133824179073914E-2</v>
      </c>
    </row>
    <row r="97" spans="1:8">
      <c r="A97" s="43" t="s">
        <v>198</v>
      </c>
      <c r="B97" s="43" t="s">
        <v>199</v>
      </c>
      <c r="C97" s="56">
        <f t="shared" si="7"/>
        <v>42072.090142945228</v>
      </c>
      <c r="D97" s="94">
        <f>('Incomes FY 11-12'!J97-'Incomes FY 11-12'!D97)/'Incomes FY 11-12'!J$184*D$4</f>
        <v>50486.508171534268</v>
      </c>
      <c r="F97" s="56">
        <f>IFERROR(VLOOKUP(A97,'[1]Charges AY 2012-13'!$A:$D,4,FALSE),0)</f>
        <v>49292.567809952976</v>
      </c>
      <c r="G97" s="60">
        <f t="shared" si="5"/>
        <v>1193.9403615812917</v>
      </c>
      <c r="H97" s="61">
        <f t="shared" si="6"/>
        <v>2.4221508730981865E-2</v>
      </c>
    </row>
    <row r="98" spans="1:8">
      <c r="A98" s="43" t="s">
        <v>201</v>
      </c>
      <c r="B98" s="43" t="s">
        <v>202</v>
      </c>
      <c r="C98" s="56">
        <f t="shared" si="7"/>
        <v>13195.54359212439</v>
      </c>
      <c r="D98" s="94">
        <f>'Incomes FY 11-12'!J98/'Incomes FY 11-12'!J$184*D$4</f>
        <v>15834.652310549267</v>
      </c>
      <c r="F98" s="56">
        <f>IFERROR(VLOOKUP(A98,'[1]Charges AY 2012-13'!$A:$D,4,FALSE),0)</f>
        <v>15660.678875047253</v>
      </c>
      <c r="G98" s="60">
        <f t="shared" si="5"/>
        <v>173.97343550201367</v>
      </c>
      <c r="H98" s="61">
        <f t="shared" si="6"/>
        <v>1.1108933200795788E-2</v>
      </c>
    </row>
    <row r="99" spans="1:8">
      <c r="A99" s="43" t="s">
        <v>203</v>
      </c>
      <c r="B99" s="43" t="s">
        <v>204</v>
      </c>
      <c r="C99" s="56">
        <f t="shared" si="7"/>
        <v>193712.75313661821</v>
      </c>
      <c r="D99" s="94">
        <f>'Incomes FY 11-12'!J99/'Incomes FY 11-12'!J$184*D$4</f>
        <v>232455.30376394183</v>
      </c>
      <c r="F99" s="56">
        <f>IFERROR(VLOOKUP(A99,'[1]Charges AY 2012-13'!$A:$D,4,FALSE),0)</f>
        <v>213077.96909420009</v>
      </c>
      <c r="G99" s="60">
        <f t="shared" si="5"/>
        <v>19377.334669741744</v>
      </c>
      <c r="H99" s="61">
        <f t="shared" si="6"/>
        <v>9.0940113387204174E-2</v>
      </c>
    </row>
    <row r="100" spans="1:8">
      <c r="A100" s="43" t="s">
        <v>205</v>
      </c>
      <c r="B100" s="43" t="s">
        <v>206</v>
      </c>
      <c r="C100" s="56">
        <f t="shared" si="7"/>
        <v>32099.370300726285</v>
      </c>
      <c r="D100" s="94">
        <f>'Incomes FY 11-12'!J100/'Incomes FY 11-12'!J$184*D$4</f>
        <v>38519.24436087154</v>
      </c>
      <c r="F100" s="56">
        <f>IFERROR(VLOOKUP(A100,'[1]Charges AY 2012-13'!$A:$D,4,FALSE),0)</f>
        <v>39539.025727926222</v>
      </c>
      <c r="G100" s="60">
        <f t="shared" si="5"/>
        <v>-1019.7813670546821</v>
      </c>
      <c r="H100" s="61">
        <f t="shared" si="6"/>
        <v>-2.5791767710007466E-2</v>
      </c>
    </row>
    <row r="101" spans="1:8">
      <c r="A101" s="43" t="s">
        <v>207</v>
      </c>
      <c r="B101" s="43" t="s">
        <v>208</v>
      </c>
      <c r="C101" s="56">
        <f t="shared" si="7"/>
        <v>40160.432946443878</v>
      </c>
      <c r="D101" s="94">
        <f>'Incomes FY 11-12'!J101/'Incomes FY 11-12'!J$184*D$4</f>
        <v>48192.519535732652</v>
      </c>
      <c r="F101" s="56">
        <f>IFERROR(VLOOKUP(A101,'[1]Charges AY 2012-13'!$A:$D,4,FALSE),0)</f>
        <v>48442.831790024909</v>
      </c>
      <c r="G101" s="60">
        <f t="shared" si="5"/>
        <v>-250.31225429225742</v>
      </c>
      <c r="H101" s="61">
        <f t="shared" si="6"/>
        <v>-5.167168083344797E-3</v>
      </c>
    </row>
    <row r="102" spans="1:8">
      <c r="A102" s="43" t="s">
        <v>209</v>
      </c>
      <c r="B102" s="43" t="s">
        <v>210</v>
      </c>
      <c r="C102" s="56">
        <f t="shared" si="7"/>
        <v>4568.3040543436709</v>
      </c>
      <c r="D102" s="94">
        <f>'Incomes FY 11-12'!J102/'Incomes FY 11-12'!J$184*D$4</f>
        <v>5481.9648652124051</v>
      </c>
      <c r="F102" s="56">
        <f>IFERROR(VLOOKUP(A102,'[1]Charges AY 2012-13'!$A:$D,4,FALSE),0)</f>
        <v>5854.5351904779136</v>
      </c>
      <c r="G102" s="60">
        <f t="shared" si="5"/>
        <v>-372.57032526550847</v>
      </c>
      <c r="H102" s="61">
        <f t="shared" si="6"/>
        <v>-6.3637900045672977E-2</v>
      </c>
    </row>
    <row r="103" spans="1:8">
      <c r="A103" s="43" t="s">
        <v>211</v>
      </c>
      <c r="B103" s="43" t="s">
        <v>212</v>
      </c>
      <c r="C103" s="56">
        <f t="shared" si="7"/>
        <v>33643.870361162451</v>
      </c>
      <c r="D103" s="94">
        <f>'Incomes FY 11-12'!J103/'Incomes FY 11-12'!J$184*D$4</f>
        <v>40372.64443339494</v>
      </c>
      <c r="F103" s="56">
        <f>IFERROR(VLOOKUP(A103,'[1]Charges AY 2012-13'!$A:$D,4,FALSE),0)</f>
        <v>41148.588420705149</v>
      </c>
      <c r="G103" s="60">
        <f t="shared" si="5"/>
        <v>-775.9439873102092</v>
      </c>
      <c r="H103" s="61">
        <f t="shared" si="6"/>
        <v>-1.8857122858673074E-2</v>
      </c>
    </row>
    <row r="104" spans="1:8">
      <c r="A104" s="43" t="s">
        <v>213</v>
      </c>
      <c r="B104" s="43" t="s">
        <v>214</v>
      </c>
      <c r="C104" s="56">
        <f t="shared" si="7"/>
        <v>58578.148182062279</v>
      </c>
      <c r="D104" s="94">
        <f>'Incomes FY 11-12'!J104/'Incomes FY 11-12'!J$184*D$4</f>
        <v>70293.777818474729</v>
      </c>
      <c r="F104" s="56">
        <f>IFERROR(VLOOKUP(A104,'[1]Charges AY 2012-13'!$A:$D,4,FALSE),0)</f>
        <v>68845.070097787742</v>
      </c>
      <c r="G104" s="60">
        <f t="shared" si="5"/>
        <v>1448.7077206869872</v>
      </c>
      <c r="H104" s="61">
        <f t="shared" si="6"/>
        <v>2.1043013227079854E-2</v>
      </c>
    </row>
    <row r="105" spans="1:8">
      <c r="A105" s="43" t="s">
        <v>215</v>
      </c>
      <c r="B105" s="43" t="s">
        <v>216</v>
      </c>
      <c r="C105" s="56">
        <f t="shared" si="7"/>
        <v>3124.2670316574204</v>
      </c>
      <c r="D105" s="94">
        <f>'Incomes FY 11-12'!J105/'Incomes FY 11-12'!J$184*D$4</f>
        <v>3749.1204379889041</v>
      </c>
      <c r="F105" s="56">
        <f>IFERROR(VLOOKUP(A105,'[1]Charges AY 2012-13'!$A:$D,4,FALSE),0)</f>
        <v>3657.3175899985322</v>
      </c>
      <c r="G105" s="60">
        <f t="shared" si="5"/>
        <v>91.802847990371902</v>
      </c>
      <c r="H105" s="61">
        <f t="shared" si="6"/>
        <v>2.510114195207443E-2</v>
      </c>
    </row>
    <row r="106" spans="1:8">
      <c r="A106" s="43" t="s">
        <v>217</v>
      </c>
      <c r="B106" s="43" t="s">
        <v>218</v>
      </c>
      <c r="C106" s="56">
        <f t="shared" si="7"/>
        <v>42321.436733793227</v>
      </c>
      <c r="D106" s="94">
        <f>'Incomes FY 11-12'!J106/'Incomes FY 11-12'!J$184*D$4</f>
        <v>50785.724080551867</v>
      </c>
      <c r="F106" s="56">
        <f>IFERROR(VLOOKUP(A106,'[1]Charges AY 2012-13'!$A:$D,4,FALSE),0)</f>
        <v>51256.206488128708</v>
      </c>
      <c r="G106" s="60">
        <f t="shared" ref="G106:G137" si="8">D106-F106</f>
        <v>-470.48240757684107</v>
      </c>
      <c r="H106" s="61">
        <f t="shared" si="6"/>
        <v>-9.179032936934341E-3</v>
      </c>
    </row>
    <row r="107" spans="1:8">
      <c r="A107" s="43" t="s">
        <v>219</v>
      </c>
      <c r="B107" s="43" t="s">
        <v>220</v>
      </c>
      <c r="C107" s="56">
        <f t="shared" si="7"/>
        <v>13768.011338543769</v>
      </c>
      <c r="D107" s="94">
        <f>'Incomes FY 11-12'!J107/'Incomes FY 11-12'!J$184*D$4</f>
        <v>16521.613606252522</v>
      </c>
      <c r="F107" s="56">
        <f>IFERROR(VLOOKUP(A107,'[1]Charges AY 2012-13'!$A:$D,4,FALSE),0)</f>
        <v>17202.809557518282</v>
      </c>
      <c r="G107" s="60">
        <f t="shared" si="8"/>
        <v>-681.1959512657595</v>
      </c>
      <c r="H107" s="61">
        <f t="shared" si="6"/>
        <v>-3.9597947590372003E-2</v>
      </c>
    </row>
    <row r="108" spans="1:8">
      <c r="A108" s="43" t="s">
        <v>221</v>
      </c>
      <c r="B108" s="43" t="s">
        <v>222</v>
      </c>
      <c r="C108" s="56">
        <f t="shared" si="7"/>
        <v>1350.2461031929652</v>
      </c>
      <c r="D108" s="94">
        <f>'Incomes FY 11-12'!J108/'Incomes FY 11-12'!J$184*D$4</f>
        <v>1620.2953238315581</v>
      </c>
      <c r="F108" s="56">
        <f>IFERROR(VLOOKUP(A108,'[1]Charges AY 2012-13'!$A:$D,4,FALSE),0)</f>
        <v>1754.6226187333768</v>
      </c>
      <c r="G108" s="60">
        <f t="shared" si="8"/>
        <v>-134.32729490181873</v>
      </c>
      <c r="H108" s="61">
        <f t="shared" si="6"/>
        <v>-7.6556231218988066E-2</v>
      </c>
    </row>
    <row r="109" spans="1:8">
      <c r="A109" s="43" t="s">
        <v>223</v>
      </c>
      <c r="B109" s="43" t="s">
        <v>224</v>
      </c>
      <c r="C109" s="56">
        <f t="shared" si="7"/>
        <v>3712.7478618927271</v>
      </c>
      <c r="D109" s="94">
        <f>'Incomes FY 11-12'!J109/'Incomes FY 11-12'!J$184*D$4</f>
        <v>4455.2974342712723</v>
      </c>
      <c r="F109" s="56">
        <f>IFERROR(VLOOKUP(A109,'[1]Charges AY 2012-13'!$A:$D,4,FALSE),0)</f>
        <v>4650.0280097890482</v>
      </c>
      <c r="G109" s="60">
        <f t="shared" si="8"/>
        <v>-194.73057551777583</v>
      </c>
      <c r="H109" s="61">
        <f t="shared" si="6"/>
        <v>-4.1877290869611325E-2</v>
      </c>
    </row>
    <row r="110" spans="1:8">
      <c r="A110" s="43" t="s">
        <v>225</v>
      </c>
      <c r="B110" s="43" t="s">
        <v>226</v>
      </c>
      <c r="C110" s="56">
        <f t="shared" si="7"/>
        <v>3072.6057731560372</v>
      </c>
      <c r="D110" s="94">
        <f>'Incomes FY 11-12'!J110/'Incomes FY 11-12'!J$184*D$4</f>
        <v>3687.1269277872448</v>
      </c>
      <c r="F110" s="56">
        <f>IFERROR(VLOOKUP(A110,'[1]Charges AY 2012-13'!$A:$D,4,FALSE),0)</f>
        <v>4049.3964952939459</v>
      </c>
      <c r="G110" s="60">
        <f t="shared" si="8"/>
        <v>-362.26956750670115</v>
      </c>
      <c r="H110" s="61">
        <f t="shared" si="6"/>
        <v>-8.9462607064464308E-2</v>
      </c>
    </row>
    <row r="111" spans="1:8">
      <c r="A111" s="43" t="s">
        <v>227</v>
      </c>
      <c r="B111" s="43" t="s">
        <v>228</v>
      </c>
      <c r="C111" s="56">
        <f t="shared" si="7"/>
        <v>6042.8421890602576</v>
      </c>
      <c r="D111" s="94">
        <f>'Incomes FY 11-12'!J111/'Incomes FY 11-12'!J$184*D$4</f>
        <v>7251.410626872309</v>
      </c>
      <c r="F111" s="56">
        <f>IFERROR(VLOOKUP(A111,'[1]Charges AY 2012-13'!$A:$D,4,FALSE),0)</f>
        <v>7099.8259925213852</v>
      </c>
      <c r="G111" s="60">
        <f t="shared" si="8"/>
        <v>151.58463435092381</v>
      </c>
      <c r="H111" s="61">
        <f t="shared" si="6"/>
        <v>2.1350471759532665E-2</v>
      </c>
    </row>
    <row r="112" spans="1:8">
      <c r="A112" s="43" t="s">
        <v>229</v>
      </c>
      <c r="B112" s="43" t="s">
        <v>230</v>
      </c>
      <c r="C112" s="56">
        <f t="shared" si="7"/>
        <v>2529.8766109662347</v>
      </c>
      <c r="D112" s="94">
        <f>'Incomes FY 11-12'!J112/'Incomes FY 11-12'!J$184*D$4</f>
        <v>3035.8519331594816</v>
      </c>
      <c r="F112" s="56">
        <f>IFERROR(VLOOKUP(A112,'[1]Charges AY 2012-13'!$A:$D,4,FALSE),0)</f>
        <v>2918.8096283103027</v>
      </c>
      <c r="G112" s="60">
        <f t="shared" si="8"/>
        <v>117.04230484917889</v>
      </c>
      <c r="H112" s="61">
        <f t="shared" si="6"/>
        <v>4.0099328066467502E-2</v>
      </c>
    </row>
    <row r="113" spans="1:8">
      <c r="A113" s="43" t="s">
        <v>231</v>
      </c>
      <c r="B113" s="43" t="s">
        <v>232</v>
      </c>
      <c r="C113" s="56">
        <f t="shared" si="7"/>
        <v>3751.6367797314069</v>
      </c>
      <c r="D113" s="94">
        <f>'Incomes FY 11-12'!J113/'Incomes FY 11-12'!J$184*D$4</f>
        <v>4501.9641356776883</v>
      </c>
      <c r="F113" s="56">
        <f>IFERROR(VLOOKUP(A113,'[1]Charges AY 2012-13'!$A:$D,4,FALSE),0)</f>
        <v>4674.8225977716775</v>
      </c>
      <c r="G113" s="60">
        <f t="shared" si="8"/>
        <v>-172.85846209398915</v>
      </c>
      <c r="H113" s="61">
        <f t="shared" si="6"/>
        <v>-3.6976475251998792E-2</v>
      </c>
    </row>
    <row r="114" spans="1:8">
      <c r="A114" s="43" t="s">
        <v>233</v>
      </c>
      <c r="B114" s="43" t="s">
        <v>234</v>
      </c>
      <c r="C114" s="56">
        <f t="shared" si="7"/>
        <v>26070.634875980057</v>
      </c>
      <c r="D114" s="94">
        <f>'Incomes FY 11-12'!J114/'Incomes FY 11-12'!J$184*D$4</f>
        <v>31284.761851176067</v>
      </c>
      <c r="F114" s="56">
        <f>IFERROR(VLOOKUP(A114,'[1]Charges AY 2012-13'!$A:$D,4,FALSE),0)</f>
        <v>30634.987940706204</v>
      </c>
      <c r="G114" s="60">
        <f t="shared" si="8"/>
        <v>649.77391046986304</v>
      </c>
      <c r="H114" s="61">
        <f t="shared" si="6"/>
        <v>2.1210189856366052E-2</v>
      </c>
    </row>
    <row r="115" spans="1:8">
      <c r="A115" s="43" t="s">
        <v>235</v>
      </c>
      <c r="B115" s="43" t="s">
        <v>236</v>
      </c>
      <c r="C115" s="56">
        <f t="shared" si="7"/>
        <v>2930.5849702647829</v>
      </c>
      <c r="D115" s="94">
        <f>'Incomes FY 11-12'!J115/'Incomes FY 11-12'!J$184*D$4</f>
        <v>3516.7019643177391</v>
      </c>
      <c r="F115" s="56">
        <f>IFERROR(VLOOKUP(A115,'[1]Charges AY 2012-13'!$A:$D,4,FALSE),0)</f>
        <v>3726.1399510344295</v>
      </c>
      <c r="G115" s="60">
        <f t="shared" si="8"/>
        <v>-209.43798671669038</v>
      </c>
      <c r="H115" s="61">
        <f t="shared" si="6"/>
        <v>-5.6207761777317948E-2</v>
      </c>
    </row>
    <row r="116" spans="1:8">
      <c r="A116" s="43" t="s">
        <v>237</v>
      </c>
      <c r="B116" s="43" t="s">
        <v>238</v>
      </c>
      <c r="C116" s="56">
        <f t="shared" si="7"/>
        <v>13706.437218632527</v>
      </c>
      <c r="D116" s="94">
        <f>'Incomes FY 11-12'!J116/'Incomes FY 11-12'!J$184*D$4</f>
        <v>16447.724662359033</v>
      </c>
      <c r="F116" s="56">
        <f>IFERROR(VLOOKUP(A116,'[1]Charges AY 2012-13'!$A:$D,4,FALSE),0)</f>
        <v>15895.879873200236</v>
      </c>
      <c r="G116" s="60">
        <f t="shared" si="8"/>
        <v>551.84478915879663</v>
      </c>
      <c r="H116" s="61">
        <f t="shared" si="6"/>
        <v>3.4716215369064468E-2</v>
      </c>
    </row>
    <row r="117" spans="1:8">
      <c r="A117" s="43" t="s">
        <v>239</v>
      </c>
      <c r="B117" s="43" t="s">
        <v>240</v>
      </c>
      <c r="C117" s="56">
        <f t="shared" si="7"/>
        <v>16157.964098070837</v>
      </c>
      <c r="D117" s="94">
        <f>'Incomes FY 11-12'!J117/'Incomes FY 11-12'!J$184*D$4</f>
        <v>19389.556917685004</v>
      </c>
      <c r="F117" s="56">
        <f>IFERROR(VLOOKUP(A117,'[1]Charges AY 2012-13'!$A:$D,4,FALSE),0)</f>
        <v>19785.154309653088</v>
      </c>
      <c r="G117" s="60">
        <f t="shared" si="8"/>
        <v>-395.59739196808368</v>
      </c>
      <c r="H117" s="61">
        <f t="shared" si="6"/>
        <v>-1.9994657902418961E-2</v>
      </c>
    </row>
    <row r="118" spans="1:8">
      <c r="A118" s="43" t="s">
        <v>241</v>
      </c>
      <c r="B118" s="43" t="s">
        <v>242</v>
      </c>
      <c r="C118" s="56">
        <f t="shared" si="7"/>
        <v>7034.5095939465773</v>
      </c>
      <c r="D118" s="94">
        <f>'Incomes FY 11-12'!J118/'Incomes FY 11-12'!J$184*D$4</f>
        <v>8441.4115127358928</v>
      </c>
      <c r="F118" s="56">
        <f>IFERROR(VLOOKUP(A118,'[1]Charges AY 2012-13'!$A:$D,4,FALSE),0)</f>
        <v>8065.1928479946091</v>
      </c>
      <c r="G118" s="60">
        <f t="shared" si="8"/>
        <v>376.21866474128365</v>
      </c>
      <c r="H118" s="61">
        <f t="shared" si="6"/>
        <v>4.6647200114356781E-2</v>
      </c>
    </row>
    <row r="119" spans="1:8">
      <c r="A119" s="43" t="s">
        <v>243</v>
      </c>
      <c r="B119" s="43" t="s">
        <v>244</v>
      </c>
      <c r="C119" s="56">
        <f t="shared" si="7"/>
        <v>35213.915102924031</v>
      </c>
      <c r="D119" s="94">
        <f>'Incomes FY 11-12'!J119/'Incomes FY 11-12'!J$184*D$4</f>
        <v>42256.698123508839</v>
      </c>
      <c r="F119" s="56">
        <f>IFERROR(VLOOKUP(A119,'[1]Charges AY 2012-13'!$A:$D,4,FALSE),0)</f>
        <v>43424.36083731641</v>
      </c>
      <c r="G119" s="60">
        <f t="shared" si="8"/>
        <v>-1167.662713807571</v>
      </c>
      <c r="H119" s="61">
        <f t="shared" si="6"/>
        <v>-2.6889577446679389E-2</v>
      </c>
    </row>
    <row r="120" spans="1:8">
      <c r="A120" s="43" t="s">
        <v>245</v>
      </c>
      <c r="B120" s="43" t="s">
        <v>246</v>
      </c>
      <c r="C120" s="56">
        <f t="shared" si="7"/>
        <v>85959.75897949624</v>
      </c>
      <c r="D120" s="94">
        <f>'Incomes FY 11-12'!J120/'Incomes FY 11-12'!J$184*D$4</f>
        <v>103151.71077539549</v>
      </c>
      <c r="F120" s="56">
        <f>IFERROR(VLOOKUP(A120,'[1]Charges AY 2012-13'!$A:$D,4,FALSE),0)</f>
        <v>100618.75528472425</v>
      </c>
      <c r="G120" s="60">
        <f t="shared" si="8"/>
        <v>2532.9554906712438</v>
      </c>
      <c r="H120" s="61">
        <f t="shared" si="6"/>
        <v>2.5173790746105488E-2</v>
      </c>
    </row>
    <row r="121" spans="1:8">
      <c r="A121" s="43" t="s">
        <v>247</v>
      </c>
      <c r="B121" s="43" t="s">
        <v>248</v>
      </c>
      <c r="C121" s="56">
        <f t="shared" si="7"/>
        <v>46281.24360313169</v>
      </c>
      <c r="D121" s="94">
        <f>'Incomes FY 11-12'!J121/'Incomes FY 11-12'!J$184*D$4</f>
        <v>55537.492323758022</v>
      </c>
      <c r="F121" s="56">
        <f>IFERROR(VLOOKUP(A121,'[1]Charges AY 2012-13'!$A:$D,4,FALSE),0)</f>
        <v>55888.159938453777</v>
      </c>
      <c r="G121" s="60">
        <f t="shared" si="8"/>
        <v>-350.66761469575431</v>
      </c>
      <c r="H121" s="61">
        <f t="shared" si="6"/>
        <v>-6.2744526762363115E-3</v>
      </c>
    </row>
    <row r="122" spans="1:8">
      <c r="A122" s="43" t="s">
        <v>249</v>
      </c>
      <c r="B122" s="43" t="s">
        <v>250</v>
      </c>
      <c r="C122" s="56">
        <f t="shared" si="7"/>
        <v>83472.583925372484</v>
      </c>
      <c r="D122" s="94">
        <f>'Incomes FY 11-12'!J122/'Incomes FY 11-12'!J$184*D$4</f>
        <v>100167.10071044698</v>
      </c>
      <c r="F122" s="56">
        <f>IFERROR(VLOOKUP(A122,'[1]Charges AY 2012-13'!$A:$D,4,FALSE),0)</f>
        <v>101249.9745152353</v>
      </c>
      <c r="G122" s="60">
        <f t="shared" si="8"/>
        <v>-1082.8738047883235</v>
      </c>
      <c r="H122" s="61">
        <f t="shared" si="6"/>
        <v>-1.0695052615794794E-2</v>
      </c>
    </row>
    <row r="123" spans="1:8">
      <c r="A123" s="43" t="s">
        <v>251</v>
      </c>
      <c r="B123" s="43" t="s">
        <v>252</v>
      </c>
      <c r="C123" s="56">
        <f t="shared" si="7"/>
        <v>19520.139803564882</v>
      </c>
      <c r="D123" s="94">
        <f>'Incomes FY 11-12'!J123/'Incomes FY 11-12'!J$184*D$4</f>
        <v>23424.167764277856</v>
      </c>
      <c r="F123" s="56">
        <f>IFERROR(VLOOKUP(A123,'[1]Charges AY 2012-13'!$A:$D,4,FALSE),0)</f>
        <v>23486.731397826221</v>
      </c>
      <c r="G123" s="60">
        <f t="shared" si="8"/>
        <v>-62.563633548365033</v>
      </c>
      <c r="H123" s="61">
        <f t="shared" si="6"/>
        <v>-2.6637863093267851E-3</v>
      </c>
    </row>
    <row r="124" spans="1:8">
      <c r="A124" s="43" t="s">
        <v>253</v>
      </c>
      <c r="B124" s="43" t="s">
        <v>254</v>
      </c>
      <c r="C124" s="56">
        <f t="shared" si="7"/>
        <v>22625.534272153534</v>
      </c>
      <c r="D124" s="94">
        <f>'Incomes FY 11-12'!J124/'Incomes FY 11-12'!J$184*D$4</f>
        <v>27150.64112658424</v>
      </c>
      <c r="F124" s="56">
        <f>IFERROR(VLOOKUP(A124,'[1]Charges AY 2012-13'!$A:$D,4,FALSE),0)</f>
        <v>28580.281289846604</v>
      </c>
      <c r="G124" s="60">
        <f t="shared" si="8"/>
        <v>-1429.6401632623638</v>
      </c>
      <c r="H124" s="61">
        <f t="shared" si="6"/>
        <v>-5.0021906669276063E-2</v>
      </c>
    </row>
    <row r="125" spans="1:8">
      <c r="A125" s="43" t="s">
        <v>255</v>
      </c>
      <c r="B125" s="43" t="s">
        <v>256</v>
      </c>
      <c r="C125" s="56">
        <f t="shared" si="7"/>
        <v>23436.482588260107</v>
      </c>
      <c r="D125" s="94">
        <f>'Incomes FY 11-12'!J125/'Incomes FY 11-12'!J$184*D$4</f>
        <v>28123.779105912126</v>
      </c>
      <c r="F125" s="56">
        <f>IFERROR(VLOOKUP(A125,'[1]Charges AY 2012-13'!$A:$D,4,FALSE),0)</f>
        <v>30326.793529333328</v>
      </c>
      <c r="G125" s="60">
        <f t="shared" si="8"/>
        <v>-2203.0144234212021</v>
      </c>
      <c r="H125" s="61">
        <f t="shared" si="6"/>
        <v>-7.264251069900797E-2</v>
      </c>
    </row>
    <row r="126" spans="1:8">
      <c r="A126" s="43" t="s">
        <v>257</v>
      </c>
      <c r="B126" s="43" t="s">
        <v>258</v>
      </c>
      <c r="C126" s="56">
        <f t="shared" si="7"/>
        <v>40290.062672572807</v>
      </c>
      <c r="D126" s="94">
        <f>'Incomes FY 11-12'!J126/'Incomes FY 11-12'!J$184*D$4</f>
        <v>48348.075207087364</v>
      </c>
      <c r="F126" s="56">
        <f>IFERROR(VLOOKUP(A126,'[1]Charges AY 2012-13'!$A:$D,4,FALSE),0)</f>
        <v>49030.950147968033</v>
      </c>
      <c r="G126" s="60">
        <f t="shared" si="8"/>
        <v>-682.87494088066887</v>
      </c>
      <c r="H126" s="61">
        <f t="shared" si="6"/>
        <v>-1.3927426224045322E-2</v>
      </c>
    </row>
    <row r="127" spans="1:8">
      <c r="A127" s="43" t="s">
        <v>259</v>
      </c>
      <c r="B127" s="43" t="s">
        <v>260</v>
      </c>
      <c r="C127" s="56">
        <f t="shared" si="7"/>
        <v>34828.26666769047</v>
      </c>
      <c r="D127" s="94">
        <f>'Incomes FY 11-12'!J127/'Incomes FY 11-12'!J$184*D$4</f>
        <v>41793.920001228558</v>
      </c>
      <c r="F127" s="56">
        <f>IFERROR(VLOOKUP(A127,'[1]Charges AY 2012-13'!$A:$D,4,FALSE),0)</f>
        <v>41042.226590013306</v>
      </c>
      <c r="G127" s="60">
        <f t="shared" si="8"/>
        <v>751.69341121525213</v>
      </c>
      <c r="H127" s="61">
        <f t="shared" si="6"/>
        <v>1.8315122586408595E-2</v>
      </c>
    </row>
    <row r="128" spans="1:8">
      <c r="A128" s="43" t="s">
        <v>261</v>
      </c>
      <c r="B128" s="43" t="s">
        <v>262</v>
      </c>
      <c r="C128" s="56">
        <f t="shared" si="7"/>
        <v>25232.235559046174</v>
      </c>
      <c r="D128" s="94">
        <f>'Incomes FY 11-12'!J128/'Incomes FY 11-12'!J$184*D$4</f>
        <v>30278.682670855407</v>
      </c>
      <c r="F128" s="56">
        <f>IFERROR(VLOOKUP(A128,'[1]Charges AY 2012-13'!$A:$D,4,FALSE),0)</f>
        <v>33989.209072001184</v>
      </c>
      <c r="G128" s="60">
        <f t="shared" si="8"/>
        <v>-3710.5264011457766</v>
      </c>
      <c r="H128" s="61">
        <f t="shared" si="6"/>
        <v>-0.10916777714025552</v>
      </c>
    </row>
    <row r="129" spans="1:8">
      <c r="A129" s="43" t="s">
        <v>263</v>
      </c>
      <c r="B129" s="43" t="s">
        <v>264</v>
      </c>
      <c r="C129" s="56">
        <f t="shared" si="7"/>
        <v>4334.3986514610269</v>
      </c>
      <c r="D129" s="94">
        <f>'Incomes FY 11-12'!J129/'Incomes FY 11-12'!J$184*D$4</f>
        <v>5201.2783817532318</v>
      </c>
      <c r="F129" s="56">
        <f>IFERROR(VLOOKUP(A129,'[1]Charges AY 2012-13'!$A:$D,4,FALSE),0)</f>
        <v>4793.4658598941669</v>
      </c>
      <c r="G129" s="60">
        <f t="shared" si="8"/>
        <v>407.81252185906487</v>
      </c>
      <c r="H129" s="61">
        <f t="shared" si="6"/>
        <v>8.5076755270364818E-2</v>
      </c>
    </row>
    <row r="130" spans="1:8">
      <c r="A130" s="43" t="s">
        <v>265</v>
      </c>
      <c r="B130" s="43" t="s">
        <v>266</v>
      </c>
      <c r="C130" s="56">
        <f t="shared" si="7"/>
        <v>83894.833695042456</v>
      </c>
      <c r="D130" s="94">
        <f>'Incomes FY 11-12'!J130/'Incomes FY 11-12'!J$184*D$4</f>
        <v>100673.80043405094</v>
      </c>
      <c r="F130" s="56">
        <f>IFERROR(VLOOKUP(A130,'[1]Charges AY 2012-13'!$A:$D,4,FALSE),0)</f>
        <v>97110.90039798549</v>
      </c>
      <c r="G130" s="60">
        <f t="shared" si="8"/>
        <v>3562.9000360654463</v>
      </c>
      <c r="H130" s="61">
        <f t="shared" si="6"/>
        <v>3.6688981581509017E-2</v>
      </c>
    </row>
    <row r="131" spans="1:8">
      <c r="A131" s="43" t="s">
        <v>267</v>
      </c>
      <c r="B131" s="43" t="s">
        <v>268</v>
      </c>
      <c r="C131" s="56">
        <f t="shared" si="7"/>
        <v>42066.943080290104</v>
      </c>
      <c r="D131" s="94">
        <f>'Incomes FY 11-12'!J131/'Incomes FY 11-12'!J$184*D$4</f>
        <v>50480.331696348127</v>
      </c>
      <c r="F131" s="56">
        <f>IFERROR(VLOOKUP(A131,'[1]Charges AY 2012-13'!$A:$D,4,FALSE),0)</f>
        <v>51772.490058458607</v>
      </c>
      <c r="G131" s="60">
        <f t="shared" si="8"/>
        <v>-1292.1583621104801</v>
      </c>
      <c r="H131" s="61">
        <f t="shared" si="6"/>
        <v>-2.4958397029995021E-2</v>
      </c>
    </row>
    <row r="132" spans="1:8">
      <c r="A132" s="43" t="s">
        <v>269</v>
      </c>
      <c r="B132" s="43" t="s">
        <v>270</v>
      </c>
      <c r="C132" s="56">
        <f t="shared" si="7"/>
        <v>14564.852890336315</v>
      </c>
      <c r="D132" s="94">
        <f>'Incomes FY 11-12'!J132/'Incomes FY 11-12'!J$184*D$4</f>
        <v>17477.823468403578</v>
      </c>
      <c r="F132" s="56">
        <f>IFERROR(VLOOKUP(A132,'[1]Charges AY 2012-13'!$A:$D,4,FALSE),0)</f>
        <v>19110.834206574098</v>
      </c>
      <c r="G132" s="60">
        <f t="shared" si="8"/>
        <v>-1633.0107381705202</v>
      </c>
      <c r="H132" s="61">
        <f t="shared" si="6"/>
        <v>-8.5449474393366198E-2</v>
      </c>
    </row>
    <row r="133" spans="1:8">
      <c r="A133" s="43" t="s">
        <v>271</v>
      </c>
      <c r="B133" s="43" t="s">
        <v>272</v>
      </c>
      <c r="C133" s="56">
        <f t="shared" si="7"/>
        <v>31533.955936463917</v>
      </c>
      <c r="D133" s="94">
        <f>'Incomes FY 11-12'!J133/'Incomes FY 11-12'!J$184*D$4</f>
        <v>37840.747123756701</v>
      </c>
      <c r="F133" s="56">
        <f>IFERROR(VLOOKUP(A133,'[1]Charges AY 2012-13'!$A:$D,4,FALSE),0)</f>
        <v>38149.833625534971</v>
      </c>
      <c r="G133" s="60">
        <f t="shared" si="8"/>
        <v>-309.08650177827076</v>
      </c>
      <c r="H133" s="61">
        <f t="shared" si="6"/>
        <v>-8.1019095603968427E-3</v>
      </c>
    </row>
    <row r="134" spans="1:8">
      <c r="A134" s="43" t="s">
        <v>273</v>
      </c>
      <c r="B134" s="43" t="s">
        <v>274</v>
      </c>
      <c r="C134" s="56">
        <f t="shared" si="7"/>
        <v>9235.9273547361245</v>
      </c>
      <c r="D134" s="94">
        <f>'Incomes FY 11-12'!J134/'Incomes FY 11-12'!J$184*D$4</f>
        <v>11083.112825683349</v>
      </c>
      <c r="F134" s="56">
        <f>IFERROR(VLOOKUP(A134,'[1]Charges AY 2012-13'!$A:$D,4,FALSE),0)</f>
        <v>11592.744370046668</v>
      </c>
      <c r="G134" s="60">
        <f t="shared" si="8"/>
        <v>-509.63154436331934</v>
      </c>
      <c r="H134" s="61">
        <f t="shared" si="6"/>
        <v>-4.3961250942452013E-2</v>
      </c>
    </row>
    <row r="135" spans="1:8">
      <c r="A135" s="43" t="s">
        <v>275</v>
      </c>
      <c r="B135" s="43" t="s">
        <v>276</v>
      </c>
      <c r="C135" s="56">
        <f t="shared" si="7"/>
        <v>30577.555442362671</v>
      </c>
      <c r="D135" s="94">
        <f>'Incomes FY 11-12'!J135/'Incomes FY 11-12'!J$184*D$4</f>
        <v>36693.066530835204</v>
      </c>
      <c r="F135" s="56">
        <f>IFERROR(VLOOKUP(A135,'[1]Charges AY 2012-13'!$A:$D,4,FALSE),0)</f>
        <v>37941.281016335277</v>
      </c>
      <c r="G135" s="60">
        <f t="shared" si="8"/>
        <v>-1248.2144855000734</v>
      </c>
      <c r="H135" s="61">
        <f t="shared" si="6"/>
        <v>-3.2898585710974433E-2</v>
      </c>
    </row>
    <row r="136" spans="1:8">
      <c r="A136" s="43" t="s">
        <v>277</v>
      </c>
      <c r="B136" s="43" t="s">
        <v>278</v>
      </c>
      <c r="C136" s="56">
        <f t="shared" si="7"/>
        <v>13510.276941887427</v>
      </c>
      <c r="D136" s="94">
        <f>'Incomes FY 11-12'!J136/'Incomes FY 11-12'!J$184*D$4</f>
        <v>16212.332330264911</v>
      </c>
      <c r="F136" s="56">
        <f>IFERROR(VLOOKUP(A136,'[1]Charges AY 2012-13'!$A:$D,4,FALSE),0)</f>
        <v>15526.973480038121</v>
      </c>
      <c r="G136" s="60">
        <f t="shared" si="8"/>
        <v>685.35885022679031</v>
      </c>
      <c r="H136" s="61">
        <f t="shared" si="6"/>
        <v>4.4139886701545887E-2</v>
      </c>
    </row>
    <row r="137" spans="1:8">
      <c r="A137" s="43" t="s">
        <v>279</v>
      </c>
      <c r="B137" s="43" t="s">
        <v>280</v>
      </c>
      <c r="C137" s="56">
        <f t="shared" si="7"/>
        <v>3249.1309590316105</v>
      </c>
      <c r="D137" s="94">
        <f>'Incomes FY 11-12'!J137/'Incomes FY 11-12'!J$184*D$4</f>
        <v>3898.9571508379327</v>
      </c>
      <c r="F137" s="56">
        <f>IFERROR(VLOOKUP(A137,'[1]Charges AY 2012-13'!$A:$D,4,FALSE),0)</f>
        <v>4001.8928454206834</v>
      </c>
      <c r="G137" s="60">
        <f t="shared" si="8"/>
        <v>-102.93569458275078</v>
      </c>
      <c r="H137" s="61">
        <f t="shared" si="6"/>
        <v>-2.5721751820651277E-2</v>
      </c>
    </row>
    <row r="138" spans="1:8">
      <c r="A138" s="43" t="s">
        <v>281</v>
      </c>
      <c r="B138" s="43" t="s">
        <v>282</v>
      </c>
      <c r="C138" s="56">
        <f t="shared" si="7"/>
        <v>50176.616873306048</v>
      </c>
      <c r="D138" s="94">
        <f>'Incomes FY 11-12'!J138/'Incomes FY 11-12'!J$184*D$4</f>
        <v>60211.940247967257</v>
      </c>
      <c r="F138" s="56">
        <f>IFERROR(VLOOKUP(A138,'[1]Charges AY 2012-13'!$A:$D,4,FALSE),0)</f>
        <v>60461.950383324278</v>
      </c>
      <c r="G138" s="60">
        <f t="shared" ref="G138:G139" si="9">D138-F138</f>
        <v>-250.01013535702077</v>
      </c>
      <c r="H138" s="61">
        <f t="shared" si="6"/>
        <v>-4.1349995124532876E-3</v>
      </c>
    </row>
    <row r="139" spans="1:8">
      <c r="A139" s="43" t="s">
        <v>283</v>
      </c>
      <c r="B139" s="43" t="s">
        <v>284</v>
      </c>
      <c r="C139" s="56">
        <f t="shared" si="7"/>
        <v>8485.4093668396545</v>
      </c>
      <c r="D139" s="94">
        <f>'Incomes FY 11-12'!J139/'Incomes FY 11-12'!J$184*D$4</f>
        <v>10182.491240207584</v>
      </c>
      <c r="F139" s="56">
        <f>IFERROR(VLOOKUP(A139,'[1]Charges AY 2012-13'!$A:$D,4,FALSE),0)</f>
        <v>10196.600514015423</v>
      </c>
      <c r="G139" s="60">
        <f t="shared" si="9"/>
        <v>-14.10927380783869</v>
      </c>
      <c r="H139" s="61">
        <f t="shared" ref="H139" si="10">IF(F139&gt;0.01,G139/F139,"n/a")</f>
        <v>-1.3837233093956386E-3</v>
      </c>
    </row>
    <row r="140" spans="1:8">
      <c r="D140" s="94"/>
      <c r="F140" s="56"/>
    </row>
    <row r="141" spans="1:8">
      <c r="A141" s="54" t="s">
        <v>286</v>
      </c>
      <c r="D141" s="94"/>
      <c r="F141" s="56"/>
    </row>
    <row r="142" spans="1:8">
      <c r="A142" s="43" t="s">
        <v>287</v>
      </c>
      <c r="B142" s="43" t="s">
        <v>288</v>
      </c>
      <c r="C142" s="56">
        <f t="shared" ref="C142:C159" si="11">D142/1.2</f>
        <v>41369.802038446724</v>
      </c>
      <c r="D142" s="94">
        <f>'Incomes FY 11-12'!J143/'Incomes FY 11-12'!J$184*D$4</f>
        <v>49643.762446136068</v>
      </c>
      <c r="F142" s="56">
        <f>IFERROR(VLOOKUP(A142,'[1]Charges AY 2012-13'!$A:$D,4,FALSE),0)</f>
        <v>51217.276667744758</v>
      </c>
      <c r="G142" s="60">
        <f t="shared" ref="G142:G159" si="12">D142-F142</f>
        <v>-1573.5142216086897</v>
      </c>
      <c r="H142" s="61">
        <f t="shared" ref="H142" si="13">IF(F142&gt;0.01,G142/F142,"n/a")</f>
        <v>-3.0722332852961821E-2</v>
      </c>
    </row>
    <row r="143" spans="1:8">
      <c r="A143" s="43" t="s">
        <v>290</v>
      </c>
      <c r="B143" s="43" t="s">
        <v>291</v>
      </c>
      <c r="C143" s="56">
        <f t="shared" si="11"/>
        <v>6512.7499462776304</v>
      </c>
      <c r="D143" s="94">
        <f>'Incomes FY 11-12'!J144/'Incomes FY 11-12'!J$184*D$4</f>
        <v>7815.2999355331567</v>
      </c>
      <c r="F143" s="56">
        <f>IFERROR(VLOOKUP(A143,'[1]Charges AY 2012-13'!$A:$D,4,FALSE),0)</f>
        <v>8586.3426458724971</v>
      </c>
      <c r="G143" s="60">
        <f t="shared" si="12"/>
        <v>-771.04271033934037</v>
      </c>
      <c r="H143" s="61">
        <f t="shared" ref="H143:H159" si="14">IF(F143&gt;0.01,G143/F143,"n/a")</f>
        <v>-8.9798735286901799E-2</v>
      </c>
    </row>
    <row r="144" spans="1:8">
      <c r="A144" s="43" t="s">
        <v>292</v>
      </c>
      <c r="B144" s="43" t="s">
        <v>293</v>
      </c>
      <c r="C144" s="56">
        <f t="shared" si="11"/>
        <v>42571.164588541607</v>
      </c>
      <c r="D144" s="94">
        <f>'Incomes FY 11-12'!J145/'Incomes FY 11-12'!J$184*D$4</f>
        <v>51085.39750624993</v>
      </c>
      <c r="F144" s="56">
        <f>IFERROR(VLOOKUP(A144,'[1]Charges AY 2012-13'!$A:$D,4,FALSE),0)</f>
        <v>53113.946785855267</v>
      </c>
      <c r="G144" s="60">
        <f t="shared" si="12"/>
        <v>-2028.5492796053368</v>
      </c>
      <c r="H144" s="61">
        <f t="shared" si="14"/>
        <v>-3.8192403358463245E-2</v>
      </c>
    </row>
    <row r="145" spans="1:8">
      <c r="A145" s="43" t="s">
        <v>294</v>
      </c>
      <c r="B145" s="43" t="s">
        <v>295</v>
      </c>
      <c r="C145" s="56">
        <f t="shared" si="11"/>
        <v>133611.45567254099</v>
      </c>
      <c r="D145" s="94">
        <f>'Incomes FY 11-12'!J146/'Incomes FY 11-12'!J$184*D$4</f>
        <v>160333.74680704917</v>
      </c>
      <c r="F145" s="56">
        <f>IFERROR(VLOOKUP(A145,'[1]Charges AY 2012-13'!$A:$D,4,FALSE),0)+6061.23</f>
        <v>156874.65899202653</v>
      </c>
      <c r="G145" s="60">
        <f t="shared" si="12"/>
        <v>3459.087815022649</v>
      </c>
      <c r="H145" s="61">
        <f t="shared" si="14"/>
        <v>2.2050010098816943E-2</v>
      </c>
    </row>
    <row r="146" spans="1:8">
      <c r="A146" s="43" t="s">
        <v>296</v>
      </c>
      <c r="B146" s="43" t="s">
        <v>297</v>
      </c>
      <c r="C146" s="56">
        <f t="shared" si="11"/>
        <v>19820.194493163322</v>
      </c>
      <c r="D146" s="94">
        <f>'Incomes FY 11-12'!J147/'Incomes FY 11-12'!J$184*D$4</f>
        <v>23784.233391795984</v>
      </c>
      <c r="F146" s="56">
        <f>IFERROR(VLOOKUP(A146,'[1]Charges AY 2012-13'!$A:$D,4,FALSE),0)</f>
        <v>24602.951307287218</v>
      </c>
      <c r="G146" s="60">
        <f t="shared" si="12"/>
        <v>-818.71791549123373</v>
      </c>
      <c r="H146" s="61">
        <f t="shared" si="14"/>
        <v>-3.3277223747084986E-2</v>
      </c>
    </row>
    <row r="147" spans="1:8">
      <c r="A147" s="43" t="s">
        <v>298</v>
      </c>
      <c r="B147" s="43" t="s">
        <v>299</v>
      </c>
      <c r="C147" s="56">
        <f t="shared" si="11"/>
        <v>83847.366339445245</v>
      </c>
      <c r="D147" s="94">
        <f>'Incomes FY 11-12'!J148/'Incomes FY 11-12'!J$184*D$4</f>
        <v>100616.83960733429</v>
      </c>
      <c r="F147" s="56">
        <f>IFERROR(VLOOKUP(A147,'[1]Charges AY 2012-13'!$A:$D,4,FALSE),0)</f>
        <v>104321.49099850403</v>
      </c>
      <c r="G147" s="60">
        <f t="shared" si="12"/>
        <v>-3704.6513911697402</v>
      </c>
      <c r="H147" s="61">
        <f t="shared" si="14"/>
        <v>-3.5511871578051593E-2</v>
      </c>
    </row>
    <row r="148" spans="1:8">
      <c r="A148" s="43" t="s">
        <v>300</v>
      </c>
      <c r="B148" s="43" t="s">
        <v>301</v>
      </c>
      <c r="C148" s="56">
        <f t="shared" si="11"/>
        <v>20480.543568620105</v>
      </c>
      <c r="D148" s="94">
        <f>'Incomes FY 11-12'!J149/'Incomes FY 11-12'!J$184*D$4</f>
        <v>24576.652282344126</v>
      </c>
      <c r="F148" s="56">
        <f>IFERROR(VLOOKUP(A148,'[1]Charges AY 2012-13'!$A:$D,4,FALSE),0)</f>
        <v>26303.581972750009</v>
      </c>
      <c r="G148" s="60">
        <f t="shared" si="12"/>
        <v>-1726.9296904058829</v>
      </c>
      <c r="H148" s="61">
        <f t="shared" si="14"/>
        <v>-6.5653784043365193E-2</v>
      </c>
    </row>
    <row r="149" spans="1:8">
      <c r="A149" s="43" t="s">
        <v>302</v>
      </c>
      <c r="B149" s="43" t="s">
        <v>303</v>
      </c>
      <c r="C149" s="56">
        <f t="shared" si="11"/>
        <v>4442.2963352683419</v>
      </c>
      <c r="D149" s="94">
        <f>'Incomes FY 11-12'!J150/'Incomes FY 11-12'!J$184*D$4</f>
        <v>5330.7556023220104</v>
      </c>
      <c r="F149" s="56">
        <f>IFERROR(VLOOKUP(A149,'[1]Charges AY 2012-13'!$A:$D,4,FALSE),0)</f>
        <v>5224.0111353308566</v>
      </c>
      <c r="G149" s="60">
        <f t="shared" si="12"/>
        <v>106.74446699115379</v>
      </c>
      <c r="H149" s="61">
        <f t="shared" si="14"/>
        <v>2.0433430217869024E-2</v>
      </c>
    </row>
    <row r="150" spans="1:8">
      <c r="A150" s="43" t="s">
        <v>304</v>
      </c>
      <c r="B150" s="43" t="s">
        <v>305</v>
      </c>
      <c r="C150" s="56">
        <f t="shared" si="11"/>
        <v>29671.291151161295</v>
      </c>
      <c r="D150" s="94">
        <f>'Incomes FY 11-12'!J151/'Incomes FY 11-12'!J$184*D$4</f>
        <v>35605.549381393554</v>
      </c>
      <c r="F150" s="56">
        <f>IFERROR(VLOOKUP(A150,'[1]Charges AY 2012-13'!$A:$D,4,FALSE),0)</f>
        <v>34841.957518506577</v>
      </c>
      <c r="G150" s="60">
        <f t="shared" si="12"/>
        <v>763.59186288697674</v>
      </c>
      <c r="H150" s="61">
        <f t="shared" si="14"/>
        <v>2.1915871474253102E-2</v>
      </c>
    </row>
    <row r="151" spans="1:8">
      <c r="A151" s="43" t="s">
        <v>306</v>
      </c>
      <c r="B151" s="43" t="s">
        <v>307</v>
      </c>
      <c r="C151" s="56">
        <f t="shared" si="11"/>
        <v>6547.4449612121398</v>
      </c>
      <c r="D151" s="94">
        <f>'Incomes FY 11-12'!J152/'Incomes FY 11-12'!J$184*D$4</f>
        <v>7856.933953454567</v>
      </c>
      <c r="F151" s="56">
        <f>IFERROR(VLOOKUP(A151,'[1]Charges AY 2012-13'!$A:$D,4,FALSE),0)</f>
        <v>7888.1548552962067</v>
      </c>
      <c r="G151" s="60">
        <f t="shared" si="12"/>
        <v>-31.220901841639716</v>
      </c>
      <c r="H151" s="61">
        <f t="shared" si="14"/>
        <v>-3.9579473798841067E-3</v>
      </c>
    </row>
    <row r="152" spans="1:8">
      <c r="A152" s="43" t="s">
        <v>308</v>
      </c>
      <c r="B152" s="43" t="s">
        <v>309</v>
      </c>
      <c r="C152" s="56">
        <f t="shared" si="11"/>
        <v>16903.144391361999</v>
      </c>
      <c r="D152" s="94">
        <f>'Incomes FY 11-12'!J153/'Incomes FY 11-12'!J$184*D$4</f>
        <v>20283.773269634396</v>
      </c>
      <c r="F152" s="56">
        <f>IFERROR(VLOOKUP(A152,'[1]Charges AY 2012-13'!$A:$D,4,FALSE),0)</f>
        <v>21554.375611030442</v>
      </c>
      <c r="G152" s="60">
        <f t="shared" si="12"/>
        <v>-1270.6023413960465</v>
      </c>
      <c r="H152" s="61">
        <f t="shared" si="14"/>
        <v>-5.8948696279831757E-2</v>
      </c>
    </row>
    <row r="153" spans="1:8">
      <c r="A153" s="43" t="s">
        <v>310</v>
      </c>
      <c r="B153" s="43" t="s">
        <v>311</v>
      </c>
      <c r="C153" s="56">
        <f t="shared" si="11"/>
        <v>3153.6243519866189</v>
      </c>
      <c r="D153" s="94">
        <f>'Incomes FY 11-12'!J154/'Incomes FY 11-12'!J$184*D$4</f>
        <v>3784.3492223839426</v>
      </c>
      <c r="F153" s="56">
        <f>IFERROR(VLOOKUP(A153,'[1]Charges AY 2012-13'!$A:$D,4,FALSE),0)</f>
        <v>3626.0346986185791</v>
      </c>
      <c r="G153" s="60">
        <f t="shared" si="12"/>
        <v>158.31452376536345</v>
      </c>
      <c r="H153" s="61">
        <f t="shared" si="14"/>
        <v>4.3660509874788839E-2</v>
      </c>
    </row>
    <row r="154" spans="1:8">
      <c r="A154" s="43" t="s">
        <v>312</v>
      </c>
      <c r="B154" s="43" t="s">
        <v>313</v>
      </c>
      <c r="C154" s="56">
        <f t="shared" si="11"/>
        <v>10397.066563341003</v>
      </c>
      <c r="D154" s="94">
        <f>'Incomes FY 11-12'!J155/'Incomes FY 11-12'!J$184*D$4</f>
        <v>12476.479876009204</v>
      </c>
      <c r="F154" s="56">
        <f>IFERROR(VLOOKUP(A154,'[1]Charges AY 2012-13'!$A:$D,4,FALSE),0)+12745.35</f>
        <v>12745.35</v>
      </c>
      <c r="G154" s="60">
        <f t="shared" si="12"/>
        <v>-268.87012399079686</v>
      </c>
      <c r="H154" s="61">
        <f t="shared" si="14"/>
        <v>-2.109554653193493E-2</v>
      </c>
    </row>
    <row r="155" spans="1:8">
      <c r="A155" s="43" t="s">
        <v>314</v>
      </c>
      <c r="B155" s="43" t="s">
        <v>315</v>
      </c>
      <c r="C155" s="56">
        <f t="shared" si="11"/>
        <v>32453.564464178569</v>
      </c>
      <c r="D155" s="94">
        <f>'Incomes FY 11-12'!J156/'Incomes FY 11-12'!J$184*D$4</f>
        <v>38944.277357014282</v>
      </c>
      <c r="F155" s="56">
        <f>IFERROR(VLOOKUP(A155,'[1]Charges AY 2012-13'!$A:$D,4,FALSE),0)</f>
        <v>38398.242955603928</v>
      </c>
      <c r="G155" s="60">
        <f t="shared" si="12"/>
        <v>546.03440141035389</v>
      </c>
      <c r="H155" s="61">
        <f t="shared" si="14"/>
        <v>1.4220296539132772E-2</v>
      </c>
    </row>
    <row r="156" spans="1:8">
      <c r="A156" s="43" t="s">
        <v>316</v>
      </c>
      <c r="B156" s="43" t="s">
        <v>317</v>
      </c>
      <c r="C156" s="56">
        <f t="shared" si="11"/>
        <v>18888.957416487105</v>
      </c>
      <c r="D156" s="94">
        <f>'Incomes FY 11-12'!J157/'Incomes FY 11-12'!J$184*D$4</f>
        <v>22666.748899784525</v>
      </c>
      <c r="F156" s="56">
        <f>IFERROR(VLOOKUP(A156,'[1]Charges AY 2012-13'!$A:$D,4,FALSE),0)</f>
        <v>23678.599798289935</v>
      </c>
      <c r="G156" s="60">
        <f t="shared" si="12"/>
        <v>-1011.8508985054104</v>
      </c>
      <c r="H156" s="61">
        <f t="shared" si="14"/>
        <v>-4.2732716762183133E-2</v>
      </c>
    </row>
    <row r="157" spans="1:8">
      <c r="A157" s="43" t="s">
        <v>318</v>
      </c>
      <c r="B157" s="43" t="s">
        <v>319</v>
      </c>
      <c r="C157" s="56">
        <f t="shared" si="11"/>
        <v>42885.516674404265</v>
      </c>
      <c r="D157" s="94">
        <f>'Incomes FY 11-12'!J158/'Incomes FY 11-12'!J$184*D$4</f>
        <v>51462.620009285114</v>
      </c>
      <c r="F157" s="56">
        <f>IFERROR(VLOOKUP(A157,'[1]Charges AY 2012-13'!$A:$D,4,FALSE),0)</f>
        <v>53300.485508528312</v>
      </c>
      <c r="G157" s="60">
        <f t="shared" si="12"/>
        <v>-1837.8654992431984</v>
      </c>
      <c r="H157" s="61">
        <f t="shared" si="14"/>
        <v>-3.4481214977847278E-2</v>
      </c>
    </row>
    <row r="158" spans="1:8">
      <c r="A158" s="43" t="s">
        <v>320</v>
      </c>
      <c r="B158" s="43" t="s">
        <v>321</v>
      </c>
      <c r="C158" s="56">
        <f t="shared" si="11"/>
        <v>10947.611635488578</v>
      </c>
      <c r="D158" s="94">
        <f>'Incomes FY 11-12'!J159/'Incomes FY 11-12'!J$184*D$4</f>
        <v>13137.133962586293</v>
      </c>
      <c r="F158" s="56">
        <f>IFERROR(VLOOKUP(A158,'[1]Charges AY 2012-13'!$A:$D,4,FALSE),0)</f>
        <v>14410.985295698454</v>
      </c>
      <c r="G158" s="60">
        <f t="shared" si="12"/>
        <v>-1273.8513331121612</v>
      </c>
      <c r="H158" s="61">
        <f t="shared" si="14"/>
        <v>-8.8394464845675341E-2</v>
      </c>
    </row>
    <row r="159" spans="1:8">
      <c r="A159" s="43" t="s">
        <v>322</v>
      </c>
      <c r="B159" s="43" t="s">
        <v>323</v>
      </c>
      <c r="C159" s="56">
        <f t="shared" si="11"/>
        <v>17350.748210407186</v>
      </c>
      <c r="D159" s="94">
        <f>'Incomes FY 11-12'!J160/'Incomes FY 11-12'!J$184*D$4</f>
        <v>20820.897852488622</v>
      </c>
      <c r="F159" s="56">
        <f>IFERROR(VLOOKUP(A159,'[1]Charges AY 2012-13'!$A:$D,4,FALSE),0)</f>
        <v>22226.378462896104</v>
      </c>
      <c r="G159" s="60">
        <f t="shared" si="12"/>
        <v>-1405.4806104074814</v>
      </c>
      <c r="H159" s="61">
        <f t="shared" si="14"/>
        <v>-6.3234800611072964E-2</v>
      </c>
    </row>
    <row r="160" spans="1:8">
      <c r="D160" s="94"/>
      <c r="F160" s="56"/>
    </row>
    <row r="161" spans="1:8">
      <c r="A161" s="54" t="s">
        <v>325</v>
      </c>
      <c r="D161" s="94"/>
      <c r="F161" s="56"/>
    </row>
    <row r="162" spans="1:8">
      <c r="A162" s="43" t="s">
        <v>326</v>
      </c>
      <c r="B162" s="43" t="s">
        <v>327</v>
      </c>
      <c r="C162" s="56">
        <f t="shared" ref="C162:C172" si="15">D162/1.2</f>
        <v>22950.561747226806</v>
      </c>
      <c r="D162" s="94">
        <f>'Incomes FY 11-12'!J164/'Incomes FY 11-12'!J$184*D$4</f>
        <v>27540.674096672166</v>
      </c>
      <c r="F162" s="56">
        <f>IFERROR(VLOOKUP(A162,'[1]Charges AY 2012-13'!$A:$D,4,FALSE),0)</f>
        <v>27471.708309389596</v>
      </c>
      <c r="G162" s="60">
        <f t="shared" ref="G162:G172" si="16">D162-F162</f>
        <v>68.965787282570091</v>
      </c>
      <c r="H162" s="61">
        <f t="shared" ref="H162" si="17">IF(F162&gt;0.01,G162/F162,"n/a")</f>
        <v>2.510429511913468E-3</v>
      </c>
    </row>
    <row r="163" spans="1:8">
      <c r="A163" s="43" t="s">
        <v>329</v>
      </c>
      <c r="B163" s="43" t="s">
        <v>330</v>
      </c>
      <c r="C163" s="56">
        <f t="shared" si="15"/>
        <v>25194.490432908635</v>
      </c>
      <c r="D163" s="94">
        <f>'Incomes FY 11-12'!J165/'Incomes FY 11-12'!J$184*D$4</f>
        <v>30233.38851949036</v>
      </c>
      <c r="F163" s="56">
        <f>IFERROR(VLOOKUP(A163,'[1]Charges AY 2012-13'!$A:$D,4,FALSE),0)</f>
        <v>30598.375371535589</v>
      </c>
      <c r="G163" s="60">
        <f t="shared" si="16"/>
        <v>-364.98685204522917</v>
      </c>
      <c r="H163" s="61">
        <f t="shared" ref="H163:H172" si="18">IF(F163&gt;0.01,G163/F163,"n/a")</f>
        <v>-1.1928308206348806E-2</v>
      </c>
    </row>
    <row r="164" spans="1:8">
      <c r="A164" s="43" t="s">
        <v>331</v>
      </c>
      <c r="B164" s="43" t="s">
        <v>332</v>
      </c>
      <c r="C164" s="56">
        <f t="shared" si="15"/>
        <v>81121.329451733895</v>
      </c>
      <c r="D164" s="94">
        <f>'Incomes FY 11-12'!J166/'Incomes FY 11-12'!J$184*D$4</f>
        <v>97345.595342080676</v>
      </c>
      <c r="F164" s="56">
        <f>IFERROR(VLOOKUP(A164,'[1]Charges AY 2012-13'!$A:$D,4,FALSE),0)</f>
        <v>95343.996347821449</v>
      </c>
      <c r="G164" s="60">
        <f t="shared" si="16"/>
        <v>2001.5989942592278</v>
      </c>
      <c r="H164" s="61">
        <f t="shared" si="18"/>
        <v>2.0993445533342835E-2</v>
      </c>
    </row>
    <row r="165" spans="1:8">
      <c r="A165" s="43" t="s">
        <v>333</v>
      </c>
      <c r="B165" s="43" t="s">
        <v>334</v>
      </c>
      <c r="C165" s="56">
        <f t="shared" si="15"/>
        <v>15675.665264091138</v>
      </c>
      <c r="D165" s="94">
        <f>'Incomes FY 11-12'!J167/'Incomes FY 11-12'!J$184*D$4</f>
        <v>18810.798316909364</v>
      </c>
      <c r="F165" s="56">
        <f>IFERROR(VLOOKUP(A165,'[1]Charges AY 2012-13'!$A:$D,4,FALSE),0)</f>
        <v>19269.102464444528</v>
      </c>
      <c r="G165" s="60">
        <f t="shared" si="16"/>
        <v>-458.30414753516379</v>
      </c>
      <c r="H165" s="61">
        <f t="shared" si="18"/>
        <v>-2.3784405546694743E-2</v>
      </c>
    </row>
    <row r="166" spans="1:8">
      <c r="A166" s="43" t="s">
        <v>335</v>
      </c>
      <c r="B166" s="43" t="s">
        <v>336</v>
      </c>
      <c r="C166" s="56">
        <f t="shared" si="15"/>
        <v>28383.572327630518</v>
      </c>
      <c r="D166" s="94">
        <f>'Incomes FY 11-12'!J168/'Incomes FY 11-12'!J$184*D$4</f>
        <v>34060.286793156622</v>
      </c>
      <c r="F166" s="56">
        <f>IFERROR(VLOOKUP(A166,'[1]Charges AY 2012-13'!$A:$D,4,FALSE),0)</f>
        <v>33412.67697012471</v>
      </c>
      <c r="G166" s="60">
        <f t="shared" si="16"/>
        <v>647.60982303191122</v>
      </c>
      <c r="H166" s="61">
        <f t="shared" si="18"/>
        <v>1.9382159161056112E-2</v>
      </c>
    </row>
    <row r="167" spans="1:8">
      <c r="A167" s="43" t="s">
        <v>337</v>
      </c>
      <c r="B167" s="43" t="s">
        <v>338</v>
      </c>
      <c r="C167" s="56">
        <f t="shared" si="15"/>
        <v>9212.6702568129931</v>
      </c>
      <c r="D167" s="94">
        <f>'Incomes FY 11-12'!J169/'Incomes FY 11-12'!J$184*D$4</f>
        <v>11055.204308175591</v>
      </c>
      <c r="F167" s="56">
        <f>IFERROR(VLOOKUP(A167,'[1]Charges AY 2012-13'!$A:$D,4,FALSE),0)</f>
        <v>10280.716733059297</v>
      </c>
      <c r="G167" s="60">
        <f t="shared" si="16"/>
        <v>774.48757511629447</v>
      </c>
      <c r="H167" s="61">
        <f t="shared" si="18"/>
        <v>7.5334005908927068E-2</v>
      </c>
    </row>
    <row r="168" spans="1:8">
      <c r="A168" s="43" t="s">
        <v>339</v>
      </c>
      <c r="B168" s="43" t="s">
        <v>340</v>
      </c>
      <c r="C168" s="56">
        <f t="shared" si="15"/>
        <v>9617.9537829160909</v>
      </c>
      <c r="D168" s="94">
        <f>'Incomes FY 11-12'!J170/'Incomes FY 11-12'!J$184*D$4</f>
        <v>11541.544539499309</v>
      </c>
      <c r="F168" s="56">
        <f>IFERROR(VLOOKUP(A168,'[1]Charges AY 2012-13'!$A:$D,4,FALSE),0)</f>
        <v>11515.116454400119</v>
      </c>
      <c r="G168" s="60">
        <f t="shared" si="16"/>
        <v>26.428085099190866</v>
      </c>
      <c r="H168" s="61">
        <f t="shared" si="18"/>
        <v>2.2950775360237241E-3</v>
      </c>
    </row>
    <row r="169" spans="1:8">
      <c r="A169" s="43" t="s">
        <v>341</v>
      </c>
      <c r="B169" s="43" t="s">
        <v>342</v>
      </c>
      <c r="C169" s="56">
        <f t="shared" si="15"/>
        <v>34089.758492655936</v>
      </c>
      <c r="D169" s="94">
        <f>'Incomes FY 11-12'!J171/'Incomes FY 11-12'!J$184*D$4</f>
        <v>40907.710191187121</v>
      </c>
      <c r="F169" s="56">
        <f>IFERROR(VLOOKUP(A169,'[1]Charges AY 2012-13'!$A:$D,4,FALSE),0)</f>
        <v>40095.16601912539</v>
      </c>
      <c r="G169" s="60">
        <f t="shared" si="16"/>
        <v>812.54417206173093</v>
      </c>
      <c r="H169" s="61">
        <f t="shared" si="18"/>
        <v>2.0265389889498088E-2</v>
      </c>
    </row>
    <row r="170" spans="1:8">
      <c r="A170" s="43" t="s">
        <v>343</v>
      </c>
      <c r="B170" s="43" t="s">
        <v>344</v>
      </c>
      <c r="C170" s="56">
        <f t="shared" si="15"/>
        <v>7132.8756802444141</v>
      </c>
      <c r="D170" s="94">
        <f>'Incomes FY 11-12'!J172/'Incomes FY 11-12'!J$184*D$4</f>
        <v>8559.4508162932962</v>
      </c>
      <c r="F170" s="56">
        <f>IFERROR(VLOOKUP(A170,'[1]Charges AY 2012-13'!$A:$D,4,FALSE),0)</f>
        <v>8479.0539146953233</v>
      </c>
      <c r="G170" s="60">
        <f t="shared" si="16"/>
        <v>80.396901597972828</v>
      </c>
      <c r="H170" s="61">
        <f t="shared" si="18"/>
        <v>9.4818245534014529E-3</v>
      </c>
    </row>
    <row r="171" spans="1:8">
      <c r="A171" s="43" t="s">
        <v>345</v>
      </c>
      <c r="B171" s="43" t="s">
        <v>346</v>
      </c>
      <c r="C171" s="56">
        <f t="shared" si="15"/>
        <v>7070.5390325324124</v>
      </c>
      <c r="D171" s="94">
        <f>'Incomes FY 11-12'!J173/'Incomes FY 11-12'!J$184*D$4</f>
        <v>8484.6468390388945</v>
      </c>
      <c r="F171" s="56">
        <f>IFERROR(VLOOKUP(A171,'[1]Charges AY 2012-13'!$A:$D,4,FALSE),0)</f>
        <v>7983.3938801640643</v>
      </c>
      <c r="G171" s="60">
        <f t="shared" si="16"/>
        <v>501.25295887483026</v>
      </c>
      <c r="H171" s="61">
        <f t="shared" si="18"/>
        <v>6.2786950813020534E-2</v>
      </c>
    </row>
    <row r="172" spans="1:8">
      <c r="A172" s="43" t="s">
        <v>347</v>
      </c>
      <c r="B172" s="43" t="s">
        <v>348</v>
      </c>
      <c r="C172" s="56">
        <f t="shared" si="15"/>
        <v>2670.9442541065418</v>
      </c>
      <c r="D172" s="94">
        <f>'Incomes FY 11-12'!J174/'Incomes FY 11-12'!J$184*D$4</f>
        <v>3205.1331049278501</v>
      </c>
      <c r="F172" s="56">
        <f>IFERROR(VLOOKUP(A172,'[1]Charges AY 2012-13'!$A:$D,4,FALSE),0)</f>
        <v>3812.5734212916332</v>
      </c>
      <c r="G172" s="60">
        <f t="shared" si="16"/>
        <v>-607.44031636378304</v>
      </c>
      <c r="H172" s="61">
        <f t="shared" si="18"/>
        <v>-0.15932553927262938</v>
      </c>
    </row>
    <row r="173" spans="1:8">
      <c r="D173" s="94"/>
      <c r="F173" s="56"/>
    </row>
    <row r="174" spans="1:8">
      <c r="A174" s="54" t="s">
        <v>349</v>
      </c>
      <c r="D174" s="94"/>
      <c r="F174" s="56"/>
    </row>
    <row r="175" spans="1:8">
      <c r="A175" s="43" t="s">
        <v>350</v>
      </c>
      <c r="B175" s="43" t="s">
        <v>351</v>
      </c>
      <c r="C175" s="56">
        <f t="shared" ref="C175:C178" si="19">D175/1.2</f>
        <v>54580.596186586285</v>
      </c>
      <c r="D175" s="94">
        <f>'Incomes FY 11-12'!J178/'Incomes FY 11-12'!J$184*D$4</f>
        <v>65496.715423903537</v>
      </c>
      <c r="F175" s="56">
        <f>IFERROR(VLOOKUP(A175,'[1]Charges AY 2012-13'!$A:$D,4,FALSE),0)</f>
        <v>65732.538268043063</v>
      </c>
      <c r="G175" s="60">
        <f>D175-F175</f>
        <v>-235.82284413952584</v>
      </c>
      <c r="H175" s="61">
        <f t="shared" ref="H175:H178" si="20">IF(F175&gt;0.01,G175/F175,"n/a")</f>
        <v>-3.5876120161051949E-3</v>
      </c>
    </row>
    <row r="176" spans="1:8">
      <c r="A176" s="43" t="s">
        <v>353</v>
      </c>
      <c r="B176" s="43" t="s">
        <v>354</v>
      </c>
      <c r="C176" s="56">
        <f t="shared" si="19"/>
        <v>1816.5318533567367</v>
      </c>
      <c r="D176" s="94">
        <f>'Incomes FY 11-12'!J179/'Incomes FY 11-12'!J$184*D$4</f>
        <v>2179.8382240280839</v>
      </c>
      <c r="F176" s="56">
        <f>IFERROR(VLOOKUP(A176,'[1]Charges AY 2012-13'!$A:$D,4,FALSE),0)</f>
        <v>2160.1415810661038</v>
      </c>
      <c r="G176" s="60">
        <f>D176-F176</f>
        <v>19.69664296198016</v>
      </c>
      <c r="H176" s="61">
        <f t="shared" si="20"/>
        <v>9.1182185161489248E-3</v>
      </c>
    </row>
    <row r="177" spans="1:10">
      <c r="A177" s="43" t="s">
        <v>355</v>
      </c>
      <c r="B177" s="43" t="s">
        <v>356</v>
      </c>
      <c r="C177" s="56">
        <f t="shared" si="19"/>
        <v>2373.5584118107595</v>
      </c>
      <c r="D177" s="94">
        <f>'Incomes FY 11-12'!J180/'Incomes FY 11-12'!J$184*D$4</f>
        <v>2848.2700941729113</v>
      </c>
      <c r="F177" s="56">
        <f>IFERROR(VLOOKUP(A177,'[1]Charges AY 2012-13'!$A:$D,4,FALSE),0)</f>
        <v>2757.9923941052102</v>
      </c>
      <c r="G177" s="60">
        <f>D177-F177</f>
        <v>90.277700067701062</v>
      </c>
      <c r="H177" s="61">
        <f t="shared" si="20"/>
        <v>3.273312147656967E-2</v>
      </c>
    </row>
    <row r="178" spans="1:10">
      <c r="A178" s="43" t="s">
        <v>357</v>
      </c>
      <c r="B178" s="43" t="s">
        <v>358</v>
      </c>
      <c r="C178" s="56">
        <f t="shared" si="19"/>
        <v>38008.007596853058</v>
      </c>
      <c r="D178" s="94">
        <f>'Incomes FY 11-12'!J181/'Incomes FY 11-12'!J$184*D$4</f>
        <v>45609.60911622367</v>
      </c>
      <c r="F178" s="56">
        <f>IFERROR(VLOOKUP(A178,'[1]Charges AY 2012-13'!$A:$D,4,FALSE),0)</f>
        <v>47027.223023801693</v>
      </c>
      <c r="G178" s="60">
        <f>D178-F178</f>
        <v>-1417.6139075780229</v>
      </c>
      <c r="H178" s="61">
        <f t="shared" si="20"/>
        <v>-3.0144537917123702E-2</v>
      </c>
    </row>
    <row r="179" spans="1:10">
      <c r="D179" s="56"/>
    </row>
    <row r="180" spans="1:10" ht="15.75" thickBot="1">
      <c r="A180" s="54">
        <f>COUNTA(B10:B178)</f>
        <v>163</v>
      </c>
      <c r="B180" s="43" t="s">
        <v>385</v>
      </c>
      <c r="D180" s="59">
        <f>SUM(D10:D179)</f>
        <v>6329711.9342030017</v>
      </c>
      <c r="F180" s="59">
        <f>SUM(F10:F179)</f>
        <v>6323236.7887212681</v>
      </c>
      <c r="G180" s="59">
        <f>SUM(G10:G179)</f>
        <v>6475.1454817281283</v>
      </c>
    </row>
    <row r="182" spans="1:10">
      <c r="C182" s="57" t="s">
        <v>384</v>
      </c>
      <c r="D182" s="56">
        <f>'Incomes FY 11-12'!D97/'Incomes FY 11-12'!J$184*D$4</f>
        <v>53267.065796999836</v>
      </c>
      <c r="F182" s="56">
        <v>59742.212156464018</v>
      </c>
      <c r="G182" s="60">
        <f>D182-F182</f>
        <v>-6475.1463594641828</v>
      </c>
    </row>
    <row r="184" spans="1:10" ht="15.75" thickBot="1">
      <c r="D184" s="58">
        <f>SUM(D180:D182)</f>
        <v>6382979.0000000019</v>
      </c>
      <c r="F184" s="58">
        <f>SUM(F180:F182)</f>
        <v>6382979.0008777324</v>
      </c>
      <c r="G184" s="58">
        <f>SUM(G180:G182)</f>
        <v>-8.7773605446272995E-4</v>
      </c>
    </row>
    <row r="185" spans="1:10" ht="15.75" thickTop="1"/>
    <row r="186" spans="1:10">
      <c r="F186" s="56"/>
    </row>
    <row r="187" spans="1:10">
      <c r="E187" s="64" t="s">
        <v>392</v>
      </c>
      <c r="F187" s="65"/>
      <c r="G187" s="65"/>
      <c r="H187" s="65"/>
      <c r="I187" s="92" t="s">
        <v>394</v>
      </c>
      <c r="J187" s="93"/>
    </row>
    <row r="188" spans="1:10">
      <c r="E188" s="44"/>
      <c r="F188" s="50"/>
      <c r="G188" s="50"/>
      <c r="H188" s="50"/>
      <c r="I188" s="62" t="s">
        <v>396</v>
      </c>
      <c r="J188" s="63" t="s">
        <v>395</v>
      </c>
    </row>
    <row r="189" spans="1:10">
      <c r="E189" s="44" t="s">
        <v>14</v>
      </c>
      <c r="F189" s="50"/>
      <c r="G189" s="66">
        <f>SUM(D10:D139)</f>
        <v>5271607.6171144424</v>
      </c>
      <c r="H189" s="67">
        <f>G189/G$193</f>
        <v>0.83283531255648069</v>
      </c>
      <c r="I189" s="68">
        <f>PERCENTILE(H10:H139,0.5)</f>
        <v>-1.0006646922590907E-2</v>
      </c>
      <c r="J189" s="69">
        <f>PERCENTILE(H10:H139,0.95)</f>
        <v>4.7918044529412597E-2</v>
      </c>
    </row>
    <row r="190" spans="1:10">
      <c r="E190" s="44" t="s">
        <v>286</v>
      </c>
      <c r="F190" s="50"/>
      <c r="G190" s="66">
        <f>SUM(D142:D159)</f>
        <v>650225.45136279927</v>
      </c>
      <c r="H190" s="67">
        <f>G190/G$193</f>
        <v>0.10272591519517101</v>
      </c>
      <c r="I190" s="68">
        <f>PERCENTILE(H142:H159,0.5)</f>
        <v>-3.3879219362466129E-2</v>
      </c>
      <c r="J190" s="69">
        <f>PERCENTILE(H142:H159,0.95)</f>
        <v>2.5291585065212695E-2</v>
      </c>
    </row>
    <row r="191" spans="1:10">
      <c r="E191" s="44" t="s">
        <v>325</v>
      </c>
      <c r="F191" s="50"/>
      <c r="G191" s="66">
        <f>SUM(D162:D172)</f>
        <v>291744.4328674312</v>
      </c>
      <c r="H191" s="67">
        <f>G191/G$193</f>
        <v>4.609126543199725E-2</v>
      </c>
      <c r="I191" s="68">
        <f>PERCENTILE(H162:H172,0.5)</f>
        <v>9.4818245534014529E-3</v>
      </c>
      <c r="J191" s="69">
        <f>PERCENTILE(H162:H172,0.95)</f>
        <v>6.9060478360973801E-2</v>
      </c>
    </row>
    <row r="192" spans="1:10">
      <c r="E192" s="44" t="s">
        <v>349</v>
      </c>
      <c r="F192" s="50"/>
      <c r="G192" s="66">
        <f>SUM(D175:D178)</f>
        <v>116134.4328583282</v>
      </c>
      <c r="H192" s="67">
        <f>G192/G$193</f>
        <v>1.8347506816351059E-2</v>
      </c>
      <c r="I192" s="68">
        <f>PERCENTILE(H175:H178,0.5)</f>
        <v>2.7653032500218654E-3</v>
      </c>
      <c r="J192" s="69">
        <f>PERCENTILE(H175:H178,0.95)</f>
        <v>2.9190886032506545E-2</v>
      </c>
    </row>
    <row r="193" spans="5:10">
      <c r="E193" s="70" t="s">
        <v>393</v>
      </c>
      <c r="F193" s="71"/>
      <c r="G193" s="72">
        <f>SUM(G189:G192)</f>
        <v>6329711.9342030007</v>
      </c>
      <c r="H193" s="73">
        <f>SUM(H189:H192)</f>
        <v>1</v>
      </c>
      <c r="I193" s="74">
        <f>PERCENTILE(H10:H178,0.5)</f>
        <v>-9.5928399297626234E-3</v>
      </c>
      <c r="J193" s="75">
        <f>PERCENTILE(H10:H178,0.95)</f>
        <v>4.8659370438195154E-2</v>
      </c>
    </row>
  </sheetData>
  <autoFilter ref="A6:J6">
    <filterColumn colId="2" showButton="0"/>
  </autoFilter>
  <mergeCells count="3">
    <mergeCell ref="C6:D6"/>
    <mergeCell ref="G5:H5"/>
    <mergeCell ref="I187:J187"/>
  </mergeCells>
  <conditionalFormatting sqref="H10:H139 H142:H159 H162:H172 H175:H178">
    <cfRule type="cellIs" dxfId="0" priority="4" stopIfTrue="1" operator="less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Incomes FY 11-12</vt:lpstr>
      <vt:lpstr>Charges FY 13-14</vt:lpstr>
      <vt:lpstr>'Incomes FY 11-12'!Print_Titles</vt:lpstr>
    </vt:vector>
  </TitlesOfParts>
  <Company>JANET(UK)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hannahc</dc:creator>
  <cp:lastModifiedBy>helen</cp:lastModifiedBy>
  <dcterms:created xsi:type="dcterms:W3CDTF">2013-05-07T10:43:58Z</dcterms:created>
  <dcterms:modified xsi:type="dcterms:W3CDTF">2013-06-20T14:18:20Z</dcterms:modified>
</cp:coreProperties>
</file>